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5430" windowHeight="4920" tabRatio="601" activeTab="0"/>
  </bookViews>
  <sheets>
    <sheet name="Cashflow" sheetId="1" r:id="rId1"/>
    <sheet name="Construction" sheetId="2" r:id="rId2"/>
  </sheets>
  <definedNames>
    <definedName name="__123Graph_AChart4A" localSheetId="0" hidden="1">'Cashflow'!$F$15:$T$15</definedName>
    <definedName name="__123Graph_BChart4A" localSheetId="0" hidden="1">'Cashflow'!$F$22:$T$22</definedName>
    <definedName name="__123Graph_CChart4A" localSheetId="0" hidden="1">'Cashflow'!#REF!</definedName>
    <definedName name="__123Graph_XChart4A" localSheetId="0" hidden="1">'Cashflow'!$F$4:$T$4</definedName>
    <definedName name="CHART">'Cashflow'!$W$2:$AI$22</definedName>
    <definedName name="DATABASE">'Cashflow'!$F$11:$T$30</definedName>
    <definedName name="FARE_CHART">'Cashflow'!$W$23:$AG$51</definedName>
    <definedName name="RTFARE_GRAPH">'Cashflow'!$W$63:$AG$90</definedName>
    <definedName name="TABLE">'Cashflow'!$A$2:$T$22</definedName>
  </definedNames>
  <calcPr fullCalcOnLoad="1"/>
</workbook>
</file>

<file path=xl/sharedStrings.xml><?xml version="1.0" encoding="utf-8"?>
<sst xmlns="http://schemas.openxmlformats.org/spreadsheetml/2006/main" count="134" uniqueCount="106">
  <si>
    <t>Total Costs and Expenses</t>
  </si>
  <si>
    <t xml:space="preserve"> </t>
  </si>
  <si>
    <t>Assumptions</t>
  </si>
  <si>
    <t>How calculated</t>
  </si>
  <si>
    <t>Totals</t>
  </si>
  <si>
    <t>Category</t>
  </si>
  <si>
    <t>from vending and souvenirs,parking, air rights, copyrights</t>
  </si>
  <si>
    <t>Costs and expenses:</t>
  </si>
  <si>
    <t>x% of Capital Cost</t>
  </si>
  <si>
    <t>less upgrades &amp;  replacement reserves</t>
  </si>
  <si>
    <t>Cargo Packages</t>
  </si>
  <si>
    <t>Revenues: ave dailey pass</t>
  </si>
  <si>
    <t>Total Traffic per week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</si>
  <si>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</si>
  <si>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</si>
  <si>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</si>
  <si>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</si>
  <si>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</si>
  <si>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</si>
  <si>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</si>
  <si>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</si>
  <si>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</si>
  <si>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</si>
  <si>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</si>
  <si>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</si>
  <si>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</si>
  <si>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</si>
  <si>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</si>
  <si>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</si>
  <si>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</si>
  <si>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</si>
  <si>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</si>
  <si>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</si>
  <si>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</si>
  <si>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</si>
  <si>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</si>
  <si>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</si>
  <si>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</si>
  <si>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Total  daily traffic</t>
  </si>
  <si>
    <t>Daily Revenues</t>
  </si>
  <si>
    <t>Daily Riders</t>
  </si>
  <si>
    <t>Ave dailey pass</t>
  </si>
  <si>
    <t>Revenues per day</t>
  </si>
  <si>
    <t>Advertising Revenues p/d</t>
  </si>
  <si>
    <t xml:space="preserve">Net Income Operating Income </t>
  </si>
  <si>
    <t>Operating &amp; Maint Costs @ 30%</t>
  </si>
  <si>
    <t>Annual Revenues (315 days)</t>
  </si>
  <si>
    <t>Net Operating Income (Before taxes)</t>
  </si>
  <si>
    <t>CAPITAL CONSTRUCTION COST</t>
  </si>
  <si>
    <t>DIRECT COSTS</t>
  </si>
  <si>
    <t>Per Mile</t>
  </si>
  <si>
    <t>Unit</t>
  </si>
  <si>
    <t>6.6 Miles</t>
  </si>
  <si>
    <t>Engineering at 10.9% of Construction</t>
  </si>
  <si>
    <t>job</t>
  </si>
  <si>
    <t>Conc Guideway beams fabricated</t>
  </si>
  <si>
    <t>mile</t>
  </si>
  <si>
    <t xml:space="preserve"> Steel Roadbed track</t>
  </si>
  <si>
    <t>105 Colums &amp; footings  at $8800</t>
  </si>
  <si>
    <t>105 cross beams every 50' at $4300 ea</t>
  </si>
  <si>
    <t>P/ Mile</t>
  </si>
  <si>
    <t>Engineering &amp; Test Track………………….</t>
  </si>
  <si>
    <t xml:space="preserve">                 </t>
  </si>
  <si>
    <t>Shipping to Job Site</t>
  </si>
  <si>
    <t>Erection</t>
  </si>
  <si>
    <t>Electric Power Distribution</t>
  </si>
  <si>
    <t>Control Systems</t>
  </si>
  <si>
    <t>job+</t>
  </si>
  <si>
    <t>Stations/(local circulators not incl)</t>
  </si>
  <si>
    <t>stations</t>
  </si>
  <si>
    <t>Maintenance Facilities</t>
  </si>
  <si>
    <t>min</t>
  </si>
  <si>
    <t>Vehicles assume 100 with 88 to start</t>
  </si>
  <si>
    <t>each</t>
  </si>
  <si>
    <t>Civil &amp; contengency</t>
  </si>
  <si>
    <t>6.1 percent</t>
  </si>
  <si>
    <r>
      <t xml:space="preserve">Moving </t>
    </r>
    <r>
      <rPr>
        <sz val="9"/>
        <rFont val="Times New Roman"/>
        <family val="1"/>
      </rPr>
      <t>utitlities signs walks, driveways</t>
    </r>
  </si>
  <si>
    <t>Subtotal Direct</t>
  </si>
  <si>
    <t>INDIRECT COSTS</t>
  </si>
  <si>
    <t>Administration (5% project cost)</t>
  </si>
  <si>
    <t>Underwriting Fees at 2%</t>
  </si>
  <si>
    <t>Reserves at 10%</t>
  </si>
  <si>
    <t>Subtotal Direct and Indirect</t>
  </si>
  <si>
    <t>TOTAL COSTS</t>
  </si>
  <si>
    <t>Number of Vehicles Purchased</t>
  </si>
  <si>
    <t>Number of vehicles to start</t>
  </si>
  <si>
    <t>Miles of Track</t>
  </si>
  <si>
    <t>.6.6</t>
  </si>
  <si>
    <t>Speed (Mph)</t>
  </si>
  <si>
    <t>passenger per vehicle</t>
  </si>
  <si>
    <t>passengers per day</t>
  </si>
  <si>
    <t>average price full day</t>
  </si>
  <si>
    <t>maximum Vehicles</t>
  </si>
  <si>
    <t># of peak hours/day</t>
  </si>
  <si>
    <t xml:space="preserve">                                                                       </t>
  </si>
  <si>
    <t xml:space="preserve">              </t>
  </si>
  <si>
    <t>Daily Tourist Ridership Route I-40</t>
  </si>
  <si>
    <t>Hotel Guests (unlimited rides at $2.00 pd)</t>
  </si>
  <si>
    <t>Hotel Guests</t>
  </si>
  <si>
    <t>Operating Costs @ 30%</t>
  </si>
  <si>
    <t>Train Ridership Ridership 50% at $3</t>
  </si>
  <si>
    <t>Resort Rail Proforma  for a 2 Mile  Ride</t>
  </si>
  <si>
    <t>Return on $30 million</t>
  </si>
  <si>
    <t>less  Upgrade/Replacement  @ 4%</t>
  </si>
  <si>
    <t>Assume $30 Million Development Cost</t>
  </si>
  <si>
    <t>Daily Revenues (unlimited rides at $5.00 pd)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</si>
</sst>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&quot;$&quot;#,##0.0_);[Red]\(&quot;$&quot;#,##0.0\)"/>
    <numFmt numFmtId="167" formatCode="0.0%"/>
    <numFmt numFmtId="168" formatCode="&quot;$&quot;#,##0.000_);[Red]\(&quot;$&quot;#,##0.000\)"/>
    <numFmt numFmtId="169" formatCode="&quot;$&quot;#,##0"/>
    <numFmt numFmtId="170" formatCode="&quot;$&quot;#,##0.0000_);[Red]\(&quot;$&quot;#,##0.0000\)"/>
    <numFmt numFmtId="171" formatCode="&quot;$&quot;#,##0.00"/>
    <numFmt numFmtId="172" formatCode="&quot;$&quot;#,##0.0"/>
    <numFmt numFmtId="173" formatCode="#,##0.0_);[Red]\(#,##0.0\)"/>
    <numFmt numFmtId="174" formatCode="&quot;$&quot;#,##0.00000_);[Red]\(&quot;$&quot;#,##0.00000\)"/>
    <numFmt numFmtId="175" formatCode="0.000%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3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Helv"/>
      <family val="0"/>
    </font>
    <font>
      <u val="single"/>
      <sz val="8"/>
      <name val="Helv"/>
      <family val="0"/>
    </font>
    <font>
      <b/>
      <sz val="8"/>
      <name val="Helv"/>
      <family val="0"/>
    </font>
    <font>
      <b/>
      <u val="single"/>
      <sz val="8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sz val="12"/>
      <name val="Helv"/>
      <family val="0"/>
    </font>
    <font>
      <b/>
      <sz val="12"/>
      <color indexed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7"/>
      <name val="Helv"/>
      <family val="0"/>
    </font>
    <font>
      <sz val="10"/>
      <name val="CG Times (WN)"/>
      <family val="1"/>
    </font>
    <font>
      <b/>
      <sz val="12"/>
      <name val="CG Times (WN)"/>
      <family val="1"/>
    </font>
    <font>
      <b/>
      <sz val="10"/>
      <name val="CG Times (WN)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6.7"/>
      <color indexed="8"/>
      <name val="Geneva"/>
      <family val="0"/>
    </font>
    <font>
      <b/>
      <u val="single"/>
      <sz val="6.7"/>
      <color indexed="8"/>
      <name val="Geneva"/>
      <family val="0"/>
    </font>
    <font>
      <sz val="6.7"/>
      <color indexed="8"/>
      <name val="Geneva"/>
      <family val="0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color indexed="8"/>
      <name val="Geneva"/>
      <family val="0"/>
    </font>
    <font>
      <sz val="6"/>
      <name val="Small Fonts"/>
      <family val="2"/>
    </font>
    <font>
      <sz val="7"/>
      <name val="CG Times (WN)"/>
      <family val="0"/>
    </font>
    <font>
      <sz val="8"/>
      <name val="CG Times (WN)"/>
      <family val="0"/>
    </font>
    <font>
      <u val="single"/>
      <sz val="6.7"/>
      <color indexed="8"/>
      <name val="Geneva"/>
      <family val="0"/>
    </font>
    <font>
      <b/>
      <sz val="8.3"/>
      <color indexed="8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51">
    <xf numFmtId="164" fontId="0" fillId="0" borderId="0" xfId="0" applyAlignment="1">
      <alignment/>
    </xf>
    <xf numFmtId="164" fontId="5" fillId="0" borderId="0" xfId="0" applyFont="1" applyAlignment="1">
      <alignment/>
    </xf>
    <xf numFmtId="8" fontId="5" fillId="0" borderId="0" xfId="0" applyNumberFormat="1" applyFont="1" applyAlignment="1" applyProtection="1">
      <alignment/>
      <protection/>
    </xf>
    <xf numFmtId="8" fontId="7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center"/>
      <protection/>
    </xf>
    <xf numFmtId="9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5" fillId="2" borderId="0" xfId="0" applyFont="1" applyFill="1" applyAlignment="1">
      <alignment/>
    </xf>
    <xf numFmtId="3" fontId="0" fillId="0" borderId="0" xfId="0" applyNumberFormat="1" applyAlignment="1">
      <alignment/>
    </xf>
    <xf numFmtId="3" fontId="5" fillId="2" borderId="0" xfId="0" applyNumberFormat="1" applyFont="1" applyFill="1" applyAlignment="1" applyProtection="1">
      <alignment/>
      <protection/>
    </xf>
    <xf numFmtId="3" fontId="5" fillId="2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 horizontal="right"/>
      <protection/>
    </xf>
    <xf numFmtId="3" fontId="7" fillId="2" borderId="0" xfId="0" applyNumberFormat="1" applyFont="1" applyFill="1" applyAlignment="1" applyProtection="1">
      <alignment horizontal="right"/>
      <protection/>
    </xf>
    <xf numFmtId="3" fontId="7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164" fontId="5" fillId="3" borderId="2" xfId="0" applyNumberFormat="1" applyFont="1" applyFill="1" applyBorder="1" applyAlignment="1" applyProtection="1">
      <alignment horizontal="center"/>
      <protection/>
    </xf>
    <xf numFmtId="2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2" borderId="0" xfId="0" applyNumberFormat="1" applyFont="1" applyFill="1" applyAlignment="1">
      <alignment/>
    </xf>
    <xf numFmtId="6" fontId="5" fillId="0" borderId="0" xfId="0" applyNumberFormat="1" applyFont="1" applyAlignment="1" applyProtection="1">
      <alignment/>
      <protection/>
    </xf>
    <xf numFmtId="8" fontId="5" fillId="2" borderId="0" xfId="0" applyNumberFormat="1" applyFont="1" applyFill="1" applyAlignment="1" applyProtection="1">
      <alignment/>
      <protection/>
    </xf>
    <xf numFmtId="8" fontId="5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 horizontal="left"/>
      <protection/>
    </xf>
    <xf numFmtId="164" fontId="7" fillId="3" borderId="2" xfId="0" applyNumberFormat="1" applyFont="1" applyFill="1" applyBorder="1" applyAlignment="1" applyProtection="1">
      <alignment horizontal="right"/>
      <protection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horizontal="left"/>
    </xf>
    <xf numFmtId="9" fontId="5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9" fontId="5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11" fillId="0" borderId="0" xfId="0" applyFont="1" applyAlignment="1">
      <alignment/>
    </xf>
    <xf numFmtId="164" fontId="11" fillId="2" borderId="0" xfId="0" applyFont="1" applyFill="1" applyAlignment="1">
      <alignment/>
    </xf>
    <xf numFmtId="164" fontId="12" fillId="0" borderId="0" xfId="0" applyNumberFormat="1" applyFont="1" applyAlignment="1" applyProtection="1">
      <alignment horizontal="left"/>
      <protection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169" fontId="5" fillId="2" borderId="0" xfId="0" applyNumberFormat="1" applyFont="1" applyFill="1" applyAlignment="1">
      <alignment/>
    </xf>
    <xf numFmtId="169" fontId="6" fillId="2" borderId="0" xfId="0" applyNumberFormat="1" applyFont="1" applyFill="1" applyAlignment="1">
      <alignment/>
    </xf>
    <xf numFmtId="169" fontId="5" fillId="2" borderId="3" xfId="0" applyNumberFormat="1" applyFont="1" applyFill="1" applyBorder="1" applyAlignment="1" applyProtection="1">
      <alignment/>
      <protection/>
    </xf>
    <xf numFmtId="3" fontId="5" fillId="0" borderId="4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10" fontId="5" fillId="0" borderId="0" xfId="0" applyNumberFormat="1" applyFont="1" applyAlignment="1" applyProtection="1">
      <alignment/>
      <protection/>
    </xf>
    <xf numFmtId="169" fontId="6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3" fontId="16" fillId="0" borderId="0" xfId="0" applyNumberFormat="1" applyFont="1" applyAlignment="1">
      <alignment/>
    </xf>
    <xf numFmtId="164" fontId="16" fillId="0" borderId="0" xfId="0" applyFont="1" applyAlignment="1">
      <alignment horizontal="centerContinuous"/>
    </xf>
    <xf numFmtId="5" fontId="16" fillId="0" borderId="0" xfId="0" applyNumberFormat="1" applyFont="1" applyAlignment="1">
      <alignment horizontal="left"/>
    </xf>
    <xf numFmtId="164" fontId="16" fillId="0" borderId="5" xfId="0" applyFont="1" applyBorder="1" applyAlignment="1">
      <alignment horizontal="centerContinuous"/>
    </xf>
    <xf numFmtId="164" fontId="0" fillId="0" borderId="3" xfId="0" applyBorder="1" applyAlignment="1">
      <alignment/>
    </xf>
    <xf numFmtId="164" fontId="18" fillId="0" borderId="3" xfId="0" applyFont="1" applyBorder="1" applyAlignment="1">
      <alignment/>
    </xf>
    <xf numFmtId="164" fontId="16" fillId="0" borderId="3" xfId="0" applyFont="1" applyBorder="1" applyAlignment="1">
      <alignment/>
    </xf>
    <xf numFmtId="3" fontId="16" fillId="0" borderId="3" xfId="0" applyNumberFormat="1" applyFont="1" applyBorder="1" applyAlignment="1">
      <alignment horizontal="right"/>
    </xf>
    <xf numFmtId="164" fontId="18" fillId="0" borderId="3" xfId="0" applyFont="1" applyBorder="1" applyAlignment="1">
      <alignment horizontal="center"/>
    </xf>
    <xf numFmtId="164" fontId="18" fillId="3" borderId="3" xfId="0" applyFont="1" applyFill="1" applyBorder="1" applyAlignment="1">
      <alignment horizontal="right"/>
    </xf>
    <xf numFmtId="164" fontId="18" fillId="0" borderId="0" xfId="0" applyFont="1" applyBorder="1" applyAlignment="1">
      <alignment horizontal="right"/>
    </xf>
    <xf numFmtId="164" fontId="19" fillId="0" borderId="0" xfId="0" applyFont="1" applyAlignment="1">
      <alignment/>
    </xf>
    <xf numFmtId="3" fontId="19" fillId="0" borderId="0" xfId="17" applyNumberFormat="1" applyFont="1" applyAlignment="1">
      <alignment/>
    </xf>
    <xf numFmtId="164" fontId="19" fillId="0" borderId="0" xfId="0" applyFont="1" applyAlignment="1">
      <alignment horizontal="center"/>
    </xf>
    <xf numFmtId="6" fontId="19" fillId="3" borderId="0" xfId="17" applyNumberFormat="1" applyFont="1" applyFill="1" applyAlignment="1">
      <alignment horizontal="right"/>
    </xf>
    <xf numFmtId="44" fontId="19" fillId="0" borderId="5" xfId="17" applyFont="1" applyBorder="1" applyAlignment="1">
      <alignment horizontal="right"/>
    </xf>
    <xf numFmtId="164" fontId="20" fillId="0" borderId="0" xfId="0" applyFont="1" applyAlignment="1">
      <alignment/>
    </xf>
    <xf numFmtId="0" fontId="4" fillId="0" borderId="0" xfId="21">
      <alignment/>
      <protection/>
    </xf>
    <xf numFmtId="169" fontId="21" fillId="0" borderId="0" xfId="21" applyNumberFormat="1" applyFont="1" applyBorder="1" applyAlignment="1">
      <alignment horizontal="center" vertical="top" wrapText="1"/>
      <protection/>
    </xf>
    <xf numFmtId="164" fontId="23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24" fillId="0" borderId="0" xfId="0" applyFont="1" applyAlignment="1">
      <alignment horizontal="right"/>
    </xf>
    <xf numFmtId="164" fontId="25" fillId="0" borderId="0" xfId="0" applyFont="1" applyAlignment="1">
      <alignment/>
    </xf>
    <xf numFmtId="6" fontId="25" fillId="0" borderId="0" xfId="0" applyNumberFormat="1" applyFont="1" applyAlignment="1">
      <alignment horizontal="right"/>
    </xf>
    <xf numFmtId="164" fontId="26" fillId="0" borderId="0" xfId="0" applyFont="1" applyAlignment="1">
      <alignment/>
    </xf>
    <xf numFmtId="3" fontId="19" fillId="0" borderId="4" xfId="0" applyNumberFormat="1" applyFont="1" applyBorder="1" applyAlignment="1">
      <alignment/>
    </xf>
    <xf numFmtId="6" fontId="19" fillId="3" borderId="6" xfId="17" applyNumberFormat="1" applyFont="1" applyFill="1" applyBorder="1" applyAlignment="1">
      <alignment horizontal="right"/>
    </xf>
    <xf numFmtId="3" fontId="19" fillId="0" borderId="0" xfId="17" applyNumberFormat="1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164" fontId="19" fillId="0" borderId="0" xfId="0" applyFont="1" applyBorder="1" applyAlignment="1">
      <alignment/>
    </xf>
    <xf numFmtId="6" fontId="27" fillId="3" borderId="0" xfId="17" applyNumberFormat="1" applyFont="1" applyFill="1" applyBorder="1" applyAlignment="1">
      <alignment horizontal="right"/>
    </xf>
    <xf numFmtId="164" fontId="19" fillId="0" borderId="4" xfId="0" applyFont="1" applyBorder="1" applyAlignment="1">
      <alignment/>
    </xf>
    <xf numFmtId="3" fontId="19" fillId="0" borderId="4" xfId="17" applyNumberFormat="1" applyFont="1" applyBorder="1" applyAlignment="1">
      <alignment/>
    </xf>
    <xf numFmtId="164" fontId="19" fillId="0" borderId="4" xfId="0" applyFont="1" applyBorder="1" applyAlignment="1">
      <alignment horizontal="center"/>
    </xf>
    <xf numFmtId="6" fontId="19" fillId="3" borderId="4" xfId="17" applyNumberFormat="1" applyFont="1" applyFill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27" fillId="0" borderId="7" xfId="0" applyFont="1" applyBorder="1" applyAlignment="1">
      <alignment/>
    </xf>
    <xf numFmtId="164" fontId="19" fillId="0" borderId="7" xfId="0" applyFont="1" applyBorder="1" applyAlignment="1">
      <alignment/>
    </xf>
    <xf numFmtId="164" fontId="28" fillId="0" borderId="0" xfId="0" applyFont="1" applyAlignment="1">
      <alignment/>
    </xf>
    <xf numFmtId="164" fontId="19" fillId="0" borderId="0" xfId="0" applyFont="1" applyBorder="1" applyAlignment="1">
      <alignment horizontal="center"/>
    </xf>
    <xf numFmtId="6" fontId="19" fillId="3" borderId="0" xfId="0" applyNumberFormat="1" applyFont="1" applyFill="1" applyAlignment="1">
      <alignment horizontal="right"/>
    </xf>
    <xf numFmtId="164" fontId="27" fillId="0" borderId="0" xfId="0" applyFont="1" applyBorder="1" applyAlignment="1">
      <alignment/>
    </xf>
    <xf numFmtId="3" fontId="27" fillId="0" borderId="7" xfId="0" applyNumberFormat="1" applyFont="1" applyBorder="1" applyAlignment="1">
      <alignment/>
    </xf>
    <xf numFmtId="6" fontId="27" fillId="3" borderId="7" xfId="17" applyNumberFormat="1" applyFont="1" applyFill="1" applyBorder="1" applyAlignment="1">
      <alignment horizontal="right"/>
    </xf>
    <xf numFmtId="9" fontId="1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6" fontId="19" fillId="3" borderId="0" xfId="17" applyNumberFormat="1" applyFont="1" applyFill="1" applyBorder="1" applyAlignment="1">
      <alignment horizontal="right"/>
    </xf>
    <xf numFmtId="164" fontId="0" fillId="0" borderId="4" xfId="0" applyBorder="1" applyAlignment="1">
      <alignment/>
    </xf>
    <xf numFmtId="164" fontId="18" fillId="0" borderId="4" xfId="0" applyFont="1" applyBorder="1" applyAlignment="1">
      <alignment/>
    </xf>
    <xf numFmtId="164" fontId="29" fillId="0" borderId="4" xfId="0" applyFont="1" applyBorder="1" applyAlignment="1">
      <alignment/>
    </xf>
    <xf numFmtId="164" fontId="30" fillId="0" borderId="4" xfId="0" applyFont="1" applyBorder="1" applyAlignment="1">
      <alignment/>
    </xf>
    <xf numFmtId="3" fontId="21" fillId="0" borderId="0" xfId="17" applyNumberFormat="1" applyFont="1" applyAlignment="1">
      <alignment/>
    </xf>
    <xf numFmtId="164" fontId="16" fillId="0" borderId="4" xfId="0" applyFont="1" applyBorder="1" applyAlignment="1">
      <alignment horizontal="center"/>
    </xf>
    <xf numFmtId="6" fontId="18" fillId="3" borderId="4" xfId="0" applyNumberFormat="1" applyFont="1" applyFill="1" applyBorder="1" applyAlignment="1">
      <alignment horizontal="right"/>
    </xf>
    <xf numFmtId="164" fontId="0" fillId="1" borderId="0" xfId="0" applyFill="1" applyBorder="1" applyAlignment="1">
      <alignment/>
    </xf>
    <xf numFmtId="164" fontId="16" fillId="1" borderId="0" xfId="0" applyFont="1" applyFill="1" applyAlignment="1">
      <alignment/>
    </xf>
    <xf numFmtId="3" fontId="16" fillId="1" borderId="0" xfId="0" applyNumberFormat="1" applyFont="1" applyFill="1" applyAlignment="1">
      <alignment/>
    </xf>
    <xf numFmtId="164" fontId="18" fillId="4" borderId="8" xfId="0" applyFont="1" applyFill="1" applyBorder="1" applyAlignment="1">
      <alignment horizontal="center"/>
    </xf>
    <xf numFmtId="164" fontId="16" fillId="4" borderId="9" xfId="0" applyFont="1" applyFill="1" applyBorder="1" applyAlignment="1">
      <alignment/>
    </xf>
    <xf numFmtId="164" fontId="16" fillId="4" borderId="5" xfId="0" applyFont="1" applyFill="1" applyBorder="1" applyAlignment="1">
      <alignment/>
    </xf>
    <xf numFmtId="164" fontId="16" fillId="1" borderId="0" xfId="0" applyFont="1" applyFill="1" applyBorder="1" applyAlignment="1">
      <alignment/>
    </xf>
    <xf numFmtId="164" fontId="0" fillId="1" borderId="0" xfId="0" applyFill="1" applyAlignment="1">
      <alignment/>
    </xf>
    <xf numFmtId="3" fontId="0" fillId="1" borderId="0" xfId="0" applyNumberFormat="1" applyFill="1" applyAlignment="1">
      <alignment/>
    </xf>
    <xf numFmtId="164" fontId="31" fillId="0" borderId="8" xfId="0" applyFont="1" applyBorder="1" applyAlignment="1">
      <alignment horizontal="left"/>
    </xf>
    <xf numFmtId="164" fontId="0" fillId="0" borderId="9" xfId="0" applyBorder="1" applyAlignment="1">
      <alignment/>
    </xf>
    <xf numFmtId="1" fontId="16" fillId="0" borderId="10" xfId="0" applyNumberFormat="1" applyFont="1" applyBorder="1" applyAlignment="1">
      <alignment horizontal="center"/>
    </xf>
    <xf numFmtId="164" fontId="19" fillId="0" borderId="8" xfId="0" applyFont="1" applyBorder="1" applyAlignment="1">
      <alignment horizontal="left"/>
    </xf>
    <xf numFmtId="164" fontId="0" fillId="0" borderId="11" xfId="0" applyBorder="1" applyAlignment="1">
      <alignment horizontal="center"/>
    </xf>
    <xf numFmtId="164" fontId="31" fillId="0" borderId="8" xfId="0" applyFont="1" applyBorder="1" applyAlignment="1">
      <alignment horizontal="left"/>
    </xf>
    <xf numFmtId="164" fontId="16" fillId="0" borderId="11" xfId="0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164" fontId="0" fillId="1" borderId="5" xfId="0" applyFill="1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/>
    </xf>
    <xf numFmtId="164" fontId="16" fillId="0" borderId="9" xfId="0" applyFont="1" applyBorder="1" applyAlignment="1">
      <alignment horizontal="right"/>
    </xf>
    <xf numFmtId="164" fontId="16" fillId="0" borderId="11" xfId="0" applyFont="1" applyBorder="1" applyAlignment="1">
      <alignment/>
    </xf>
    <xf numFmtId="164" fontId="31" fillId="0" borderId="9" xfId="0" applyFont="1" applyBorder="1" applyAlignment="1">
      <alignment horizontal="left"/>
    </xf>
    <xf numFmtId="164" fontId="31" fillId="0" borderId="12" xfId="0" applyFont="1" applyBorder="1" applyAlignment="1">
      <alignment horizontal="right"/>
    </xf>
    <xf numFmtId="6" fontId="24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6" fontId="32" fillId="0" borderId="0" xfId="0" applyNumberFormat="1" applyFont="1" applyAlignment="1">
      <alignment horizontal="right"/>
    </xf>
    <xf numFmtId="164" fontId="33" fillId="0" borderId="0" xfId="0" applyFont="1" applyAlignment="1">
      <alignment/>
    </xf>
    <xf numFmtId="3" fontId="33" fillId="0" borderId="0" xfId="0" applyNumberFormat="1" applyFont="1" applyAlignment="1">
      <alignment horizontal="right"/>
    </xf>
    <xf numFmtId="164" fontId="5" fillId="3" borderId="8" xfId="0" applyFont="1" applyFill="1" applyBorder="1" applyAlignment="1">
      <alignment/>
    </xf>
    <xf numFmtId="164" fontId="5" fillId="0" borderId="3" xfId="0" applyFont="1" applyBorder="1" applyAlignment="1">
      <alignment/>
    </xf>
    <xf numFmtId="164" fontId="19" fillId="0" borderId="0" xfId="0" applyFont="1" applyAlignment="1">
      <alignment/>
    </xf>
    <xf numFmtId="164" fontId="22" fillId="0" borderId="0" xfId="0" applyFont="1" applyAlignment="1">
      <alignment/>
    </xf>
    <xf numFmtId="165" fontId="5" fillId="0" borderId="0" xfId="0" applyNumberFormat="1" applyFont="1" applyAlignment="1">
      <alignment/>
    </xf>
    <xf numFmtId="3" fontId="8" fillId="0" borderId="4" xfId="0" applyNumberFormat="1" applyFont="1" applyBorder="1" applyAlignment="1">
      <alignment horizontal="right"/>
    </xf>
    <xf numFmtId="3" fontId="5" fillId="2" borderId="4" xfId="0" applyNumberFormat="1" applyFont="1" applyFill="1" applyBorder="1" applyAlignment="1" applyProtection="1">
      <alignment/>
      <protection/>
    </xf>
    <xf numFmtId="3" fontId="7" fillId="0" borderId="4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L67"/>
  <sheetViews>
    <sheetView showGridLines="0" tabSelected="1" workbookViewId="0" topLeftCell="A1">
      <selection activeCell="E24" sqref="E24"/>
    </sheetView>
  </sheetViews>
  <sheetFormatPr defaultColWidth="10.7109375" defaultRowHeight="12.75"/>
  <cols>
    <col min="1" max="1" width="4.140625" style="1" customWidth="1"/>
    <col min="2" max="2" width="13.00390625" style="1" customWidth="1"/>
    <col min="3" max="3" width="10.7109375" style="1" customWidth="1"/>
    <col min="4" max="4" width="0" style="1" hidden="1" customWidth="1"/>
    <col min="5" max="5" width="7.7109375" style="45" customWidth="1"/>
    <col min="6" max="6" width="12.00390625" style="1" bestFit="1" customWidth="1"/>
    <col min="7" max="8" width="9.00390625" style="12" customWidth="1"/>
    <col min="9" max="10" width="8.421875" style="1" customWidth="1"/>
    <col min="11" max="11" width="8.7109375" style="1" customWidth="1"/>
    <col min="12" max="12" width="9.7109375" style="1" customWidth="1"/>
    <col min="13" max="13" width="8.8515625" style="1" customWidth="1"/>
    <col min="14" max="14" width="8.57421875" style="1" customWidth="1"/>
    <col min="15" max="15" width="8.7109375" style="1" customWidth="1"/>
    <col min="16" max="18" width="8.421875" style="1" customWidth="1"/>
    <col min="19" max="19" width="9.28125" style="1" customWidth="1"/>
    <col min="20" max="20" width="8.57421875" style="1" customWidth="1"/>
    <col min="21" max="26" width="8.421875" style="1" customWidth="1"/>
    <col min="27" max="27" width="8.57421875" style="1" customWidth="1"/>
    <col min="28" max="29" width="9.421875" style="1" customWidth="1"/>
    <col min="30" max="30" width="9.28125" style="1" customWidth="1"/>
    <col min="31" max="31" width="13.140625" style="1" customWidth="1"/>
    <col min="32" max="32" width="11.28125" style="1" customWidth="1"/>
    <col min="33" max="16384" width="10.7109375" style="1" customWidth="1"/>
  </cols>
  <sheetData>
    <row r="2" spans="1:7" ht="15.75">
      <c r="A2" s="40" t="s">
        <v>101</v>
      </c>
      <c r="B2" s="41"/>
      <c r="C2" s="41"/>
      <c r="D2" s="41"/>
      <c r="E2" s="44"/>
      <c r="F2" s="41"/>
      <c r="G2" s="42"/>
    </row>
    <row r="3" spans="1:8" ht="15.75">
      <c r="A3" s="43" t="s">
        <v>104</v>
      </c>
      <c r="B3" s="41"/>
      <c r="C3" s="41"/>
      <c r="D3" s="41"/>
      <c r="E3" s="44"/>
      <c r="F3" s="41"/>
      <c r="G3" s="41"/>
      <c r="H3" s="1"/>
    </row>
    <row r="4" spans="4:33" ht="10.5">
      <c r="D4" s="5" t="s">
        <v>3</v>
      </c>
      <c r="F4" s="25" t="s">
        <v>13</v>
      </c>
      <c r="G4" s="25" t="s">
        <v>14</v>
      </c>
      <c r="H4" s="25" t="s">
        <v>15</v>
      </c>
      <c r="I4" s="25" t="s">
        <v>16</v>
      </c>
      <c r="J4" s="25" t="s">
        <v>17</v>
      </c>
      <c r="K4" s="25" t="s">
        <v>18</v>
      </c>
      <c r="L4" s="25" t="s">
        <v>19</v>
      </c>
      <c r="M4" s="25" t="s">
        <v>20</v>
      </c>
      <c r="N4" s="25" t="s">
        <v>21</v>
      </c>
      <c r="O4" s="25" t="s">
        <v>22</v>
      </c>
      <c r="P4" s="25" t="s">
        <v>23</v>
      </c>
      <c r="Q4" s="25" t="s">
        <v>24</v>
      </c>
      <c r="R4" s="25" t="s">
        <v>25</v>
      </c>
      <c r="S4" s="25" t="s">
        <v>26</v>
      </c>
      <c r="T4" s="25" t="s">
        <v>27</v>
      </c>
      <c r="U4" s="25" t="s">
        <v>28</v>
      </c>
      <c r="V4" s="25" t="s">
        <v>29</v>
      </c>
      <c r="W4" s="25" t="s">
        <v>30</v>
      </c>
      <c r="X4" s="25" t="s">
        <v>31</v>
      </c>
      <c r="Y4" s="25" t="s">
        <v>32</v>
      </c>
      <c r="Z4" s="25" t="s">
        <v>33</v>
      </c>
      <c r="AA4" s="25" t="s">
        <v>34</v>
      </c>
      <c r="AB4" s="25" t="s">
        <v>35</v>
      </c>
      <c r="AC4" s="25" t="s">
        <v>36</v>
      </c>
      <c r="AD4" s="25" t="s">
        <v>37</v>
      </c>
      <c r="AE4" s="34" t="s">
        <v>4</v>
      </c>
      <c r="AF4" s="143" t="s">
        <v>5</v>
      </c>
      <c r="AG4" s="144"/>
    </row>
    <row r="5" ht="10.5">
      <c r="AF5" s="9"/>
    </row>
    <row r="6" spans="1:32" ht="10.5">
      <c r="A6" s="4" t="s">
        <v>11</v>
      </c>
      <c r="F6" s="26">
        <v>5</v>
      </c>
      <c r="G6" s="26">
        <f>SUM(F6*1.03)</f>
        <v>5.15</v>
      </c>
      <c r="H6" s="26">
        <f>SUM(G6*1.03)</f>
        <v>5.304500000000001</v>
      </c>
      <c r="I6" s="26">
        <f aca="true" t="shared" si="0" ref="I6:AD6">SUM(H6*1.03)</f>
        <v>5.463635000000001</v>
      </c>
      <c r="J6" s="26">
        <f t="shared" si="0"/>
        <v>5.627544050000001</v>
      </c>
      <c r="K6" s="26">
        <f t="shared" si="0"/>
        <v>5.796370371500001</v>
      </c>
      <c r="L6" s="26">
        <f t="shared" si="0"/>
        <v>5.970261482645001</v>
      </c>
      <c r="M6" s="26">
        <f t="shared" si="0"/>
        <v>6.149369327124352</v>
      </c>
      <c r="N6" s="26">
        <f t="shared" si="0"/>
        <v>6.333850406938082</v>
      </c>
      <c r="O6" s="26">
        <f t="shared" si="0"/>
        <v>6.523865919146225</v>
      </c>
      <c r="P6" s="26">
        <f t="shared" si="0"/>
        <v>6.719581896720611</v>
      </c>
      <c r="Q6" s="26">
        <f t="shared" si="0"/>
        <v>6.92116935362223</v>
      </c>
      <c r="R6" s="26">
        <f t="shared" si="0"/>
        <v>7.128804434230897</v>
      </c>
      <c r="S6" s="26">
        <f t="shared" si="0"/>
        <v>7.3426685672578245</v>
      </c>
      <c r="T6" s="26">
        <f t="shared" si="0"/>
        <v>7.56294862427556</v>
      </c>
      <c r="U6" s="26">
        <f t="shared" si="0"/>
        <v>7.789837083003826</v>
      </c>
      <c r="V6" s="26">
        <f t="shared" si="0"/>
        <v>8.023532195493942</v>
      </c>
      <c r="W6" s="26">
        <f t="shared" si="0"/>
        <v>8.26423816135876</v>
      </c>
      <c r="X6" s="26">
        <f t="shared" si="0"/>
        <v>8.512165306199522</v>
      </c>
      <c r="Y6" s="26">
        <f t="shared" si="0"/>
        <v>8.767530265385508</v>
      </c>
      <c r="Z6" s="26">
        <f t="shared" si="0"/>
        <v>9.030556173347074</v>
      </c>
      <c r="AA6" s="26">
        <f t="shared" si="0"/>
        <v>9.301472858547486</v>
      </c>
      <c r="AB6" s="26">
        <f>SUM(AA6*1.03)</f>
        <v>9.58051704430391</v>
      </c>
      <c r="AC6" s="26">
        <f t="shared" si="0"/>
        <v>9.867932555633027</v>
      </c>
      <c r="AD6" s="26">
        <f t="shared" si="0"/>
        <v>10.163970532302018</v>
      </c>
      <c r="AE6" s="17"/>
      <c r="AF6" s="4" t="s">
        <v>41</v>
      </c>
    </row>
    <row r="7" spans="1:37" ht="10.5">
      <c r="A7" s="1" t="s">
        <v>96</v>
      </c>
      <c r="E7" s="17">
        <v>3000</v>
      </c>
      <c r="F7" s="27">
        <v>3000</v>
      </c>
      <c r="G7" s="27">
        <f>SUM(F7*1.05)</f>
        <v>3150</v>
      </c>
      <c r="H7" s="27">
        <f aca="true" t="shared" si="1" ref="H7:AD7">SUM(G7*1.05)</f>
        <v>3307.5</v>
      </c>
      <c r="I7" s="27">
        <f t="shared" si="1"/>
        <v>3472.875</v>
      </c>
      <c r="J7" s="27">
        <f t="shared" si="1"/>
        <v>3646.51875</v>
      </c>
      <c r="K7" s="27">
        <f t="shared" si="1"/>
        <v>3828.8446875000004</v>
      </c>
      <c r="L7" s="27">
        <f t="shared" si="1"/>
        <v>4020.2869218750006</v>
      </c>
      <c r="M7" s="27">
        <f t="shared" si="1"/>
        <v>4221.301267968751</v>
      </c>
      <c r="N7" s="27">
        <f t="shared" si="1"/>
        <v>4432.366331367189</v>
      </c>
      <c r="O7" s="27">
        <f t="shared" si="1"/>
        <v>4653.984647935548</v>
      </c>
      <c r="P7" s="27">
        <f t="shared" si="1"/>
        <v>4886.683880332326</v>
      </c>
      <c r="Q7" s="27">
        <f t="shared" si="1"/>
        <v>5131.018074348943</v>
      </c>
      <c r="R7" s="27">
        <f t="shared" si="1"/>
        <v>5387.56897806639</v>
      </c>
      <c r="S7" s="27">
        <f t="shared" si="1"/>
        <v>5656.947426969709</v>
      </c>
      <c r="T7" s="27">
        <f t="shared" si="1"/>
        <v>5939.794798318195</v>
      </c>
      <c r="U7" s="27">
        <f t="shared" si="1"/>
        <v>6236.784538234105</v>
      </c>
      <c r="V7" s="27">
        <f t="shared" si="1"/>
        <v>6548.6237651458105</v>
      </c>
      <c r="W7" s="27">
        <f t="shared" si="1"/>
        <v>6876.0549534031015</v>
      </c>
      <c r="X7" s="27">
        <f t="shared" si="1"/>
        <v>7219.857701073257</v>
      </c>
      <c r="Y7" s="27">
        <f t="shared" si="1"/>
        <v>7580.8505861269205</v>
      </c>
      <c r="Z7" s="27">
        <f t="shared" si="1"/>
        <v>7959.893115433267</v>
      </c>
      <c r="AA7" s="27">
        <f t="shared" si="1"/>
        <v>8357.88777120493</v>
      </c>
      <c r="AB7" s="27">
        <f t="shared" si="1"/>
        <v>8775.782159765178</v>
      </c>
      <c r="AC7" s="27">
        <f t="shared" si="1"/>
        <v>9214.571267753437</v>
      </c>
      <c r="AD7" s="27">
        <f t="shared" si="1"/>
        <v>9675.29983114111</v>
      </c>
      <c r="AE7" s="27"/>
      <c r="AF7" s="27" t="s">
        <v>40</v>
      </c>
      <c r="AG7" s="27"/>
      <c r="AH7" s="27"/>
      <c r="AI7" s="27"/>
      <c r="AJ7" s="27"/>
      <c r="AK7" s="17"/>
    </row>
    <row r="8" spans="1:32" ht="10.5">
      <c r="A8" s="1" t="s">
        <v>105</v>
      </c>
      <c r="E8" s="17"/>
      <c r="F8" s="47">
        <f aca="true" t="shared" si="2" ref="F8:AD8">SUM(F6*F7)</f>
        <v>15000</v>
      </c>
      <c r="G8" s="27">
        <f t="shared" si="2"/>
        <v>16222.500000000002</v>
      </c>
      <c r="H8" s="27">
        <f t="shared" si="2"/>
        <v>17544.633750000005</v>
      </c>
      <c r="I8" s="27">
        <f t="shared" si="2"/>
        <v>18974.521400625003</v>
      </c>
      <c r="J8" s="27">
        <f t="shared" si="2"/>
        <v>20520.94489477594</v>
      </c>
      <c r="K8" s="27">
        <f t="shared" si="2"/>
        <v>22193.40190370018</v>
      </c>
      <c r="L8" s="27">
        <f t="shared" si="2"/>
        <v>24002.16415885175</v>
      </c>
      <c r="M8" s="27">
        <f t="shared" si="2"/>
        <v>25958.34053779817</v>
      </c>
      <c r="N8" s="27">
        <f t="shared" si="2"/>
        <v>28073.945291628723</v>
      </c>
      <c r="O8" s="27">
        <f t="shared" si="2"/>
        <v>30361.971832896466</v>
      </c>
      <c r="P8" s="27">
        <f t="shared" si="2"/>
        <v>32836.47253727753</v>
      </c>
      <c r="Q8" s="27">
        <f t="shared" si="2"/>
        <v>35512.64504906565</v>
      </c>
      <c r="R8" s="27">
        <f t="shared" si="2"/>
        <v>38406.9256205645</v>
      </c>
      <c r="S8" s="27">
        <f t="shared" si="2"/>
        <v>41537.09005864051</v>
      </c>
      <c r="T8" s="27">
        <f t="shared" si="2"/>
        <v>44922.36289841972</v>
      </c>
      <c r="U8" s="27">
        <f t="shared" si="2"/>
        <v>48583.53547464092</v>
      </c>
      <c r="V8" s="27">
        <f t="shared" si="2"/>
        <v>52543.09361582417</v>
      </c>
      <c r="W8" s="27">
        <f t="shared" si="2"/>
        <v>56825.35574551384</v>
      </c>
      <c r="X8" s="27">
        <f t="shared" si="2"/>
        <v>61456.62223877322</v>
      </c>
      <c r="Y8" s="27">
        <f t="shared" si="2"/>
        <v>66465.33695123324</v>
      </c>
      <c r="Z8" s="27">
        <f t="shared" si="2"/>
        <v>71882.26191275877</v>
      </c>
      <c r="AA8" s="27">
        <f t="shared" si="2"/>
        <v>77740.6662586486</v>
      </c>
      <c r="AB8" s="27">
        <f t="shared" si="2"/>
        <v>84076.53055872847</v>
      </c>
      <c r="AC8" s="27">
        <f t="shared" si="2"/>
        <v>90928.76779926484</v>
      </c>
      <c r="AD8" s="27">
        <f t="shared" si="2"/>
        <v>98339.46237490494</v>
      </c>
      <c r="AE8" s="17"/>
      <c r="AF8" s="1" t="s">
        <v>42</v>
      </c>
    </row>
    <row r="9" spans="1:31" ht="10.5">
      <c r="A9" s="1" t="s">
        <v>100</v>
      </c>
      <c r="E9" s="27">
        <v>500</v>
      </c>
      <c r="F9" s="27">
        <v>3000</v>
      </c>
      <c r="G9" s="27">
        <f>SUM(F9*1.03)</f>
        <v>3090</v>
      </c>
      <c r="H9" s="27">
        <f>SUM(G9*1.03)</f>
        <v>3182.7000000000003</v>
      </c>
      <c r="I9" s="27">
        <f>SUM(H9*1.03)</f>
        <v>3278.1810000000005</v>
      </c>
      <c r="J9" s="27">
        <f aca="true" t="shared" si="3" ref="J9:AD9">SUM(I9*1.03)</f>
        <v>3376.526430000001</v>
      </c>
      <c r="K9" s="27">
        <f t="shared" si="3"/>
        <v>3477.8222229000007</v>
      </c>
      <c r="L9" s="27">
        <f t="shared" si="3"/>
        <v>3582.156889587001</v>
      </c>
      <c r="M9" s="27">
        <f t="shared" si="3"/>
        <v>3689.621596274611</v>
      </c>
      <c r="N9" s="27">
        <f t="shared" si="3"/>
        <v>3800.3102441628494</v>
      </c>
      <c r="O9" s="27">
        <f t="shared" si="3"/>
        <v>3914.3195514877348</v>
      </c>
      <c r="P9" s="27">
        <f t="shared" si="3"/>
        <v>4031.749138032367</v>
      </c>
      <c r="Q9" s="27">
        <f t="shared" si="3"/>
        <v>4152.701612173338</v>
      </c>
      <c r="R9" s="27">
        <f t="shared" si="3"/>
        <v>4277.282660538538</v>
      </c>
      <c r="S9" s="27">
        <f t="shared" si="3"/>
        <v>4405.6011403546945</v>
      </c>
      <c r="T9" s="27">
        <f t="shared" si="3"/>
        <v>4537.769174565336</v>
      </c>
      <c r="U9" s="27">
        <f t="shared" si="3"/>
        <v>4673.902249802296</v>
      </c>
      <c r="V9" s="27">
        <f t="shared" si="3"/>
        <v>4814.119317296365</v>
      </c>
      <c r="W9" s="27">
        <f t="shared" si="3"/>
        <v>4958.542896815256</v>
      </c>
      <c r="X9" s="27">
        <f t="shared" si="3"/>
        <v>5107.299183719714</v>
      </c>
      <c r="Y9" s="27">
        <f t="shared" si="3"/>
        <v>5260.518159231306</v>
      </c>
      <c r="Z9" s="27">
        <f t="shared" si="3"/>
        <v>5418.333704008245</v>
      </c>
      <c r="AA9" s="27">
        <f t="shared" si="3"/>
        <v>5580.883715128492</v>
      </c>
      <c r="AB9" s="27">
        <f t="shared" si="3"/>
        <v>5748.310226582347</v>
      </c>
      <c r="AC9" s="27">
        <f t="shared" si="3"/>
        <v>5920.759533379818</v>
      </c>
      <c r="AD9" s="27">
        <f t="shared" si="3"/>
        <v>6098.382319381213</v>
      </c>
      <c r="AE9" s="17"/>
    </row>
    <row r="10" spans="1:32" ht="10.5">
      <c r="A10" s="1" t="s">
        <v>97</v>
      </c>
      <c r="E10" s="17">
        <v>300</v>
      </c>
      <c r="F10" s="47">
        <f>SUM(E10*2)</f>
        <v>600</v>
      </c>
      <c r="G10" s="47">
        <f>SUM(F10*1.03)</f>
        <v>618</v>
      </c>
      <c r="H10" s="47">
        <f aca="true" t="shared" si="4" ref="H10:AD10">SUM(G10*1.03)</f>
        <v>636.54</v>
      </c>
      <c r="I10" s="47">
        <f t="shared" si="4"/>
        <v>655.6362</v>
      </c>
      <c r="J10" s="47">
        <f t="shared" si="4"/>
        <v>675.305286</v>
      </c>
      <c r="K10" s="47">
        <f t="shared" si="4"/>
        <v>695.56444458</v>
      </c>
      <c r="L10" s="47">
        <f t="shared" si="4"/>
        <v>716.4313779174</v>
      </c>
      <c r="M10" s="47">
        <f t="shared" si="4"/>
        <v>737.924319254922</v>
      </c>
      <c r="N10" s="47">
        <f t="shared" si="4"/>
        <v>760.0620488325696</v>
      </c>
      <c r="O10" s="47">
        <f t="shared" si="4"/>
        <v>782.8639102975468</v>
      </c>
      <c r="P10" s="47">
        <f t="shared" si="4"/>
        <v>806.3498276064732</v>
      </c>
      <c r="Q10" s="47">
        <f t="shared" si="4"/>
        <v>830.5403224346675</v>
      </c>
      <c r="R10" s="47">
        <f t="shared" si="4"/>
        <v>855.4565321077075</v>
      </c>
      <c r="S10" s="47">
        <f t="shared" si="4"/>
        <v>881.1202280709388</v>
      </c>
      <c r="T10" s="47">
        <f t="shared" si="4"/>
        <v>907.5538349130669</v>
      </c>
      <c r="U10" s="47">
        <f t="shared" si="4"/>
        <v>934.7804499604589</v>
      </c>
      <c r="V10" s="47">
        <f t="shared" si="4"/>
        <v>962.8238634592727</v>
      </c>
      <c r="W10" s="47">
        <f t="shared" si="4"/>
        <v>991.708579363051</v>
      </c>
      <c r="X10" s="47">
        <f t="shared" si="4"/>
        <v>1021.4598367439424</v>
      </c>
      <c r="Y10" s="47">
        <f t="shared" si="4"/>
        <v>1052.1036318462607</v>
      </c>
      <c r="Z10" s="47">
        <f t="shared" si="4"/>
        <v>1083.6667408016485</v>
      </c>
      <c r="AA10" s="47">
        <f t="shared" si="4"/>
        <v>1116.176743025698</v>
      </c>
      <c r="AB10" s="47">
        <f t="shared" si="4"/>
        <v>1149.662045316469</v>
      </c>
      <c r="AC10" s="47">
        <f t="shared" si="4"/>
        <v>1184.1519066759631</v>
      </c>
      <c r="AD10" s="47">
        <f t="shared" si="4"/>
        <v>1219.676463876242</v>
      </c>
      <c r="AE10" s="17"/>
      <c r="AF10" s="1" t="s">
        <v>98</v>
      </c>
    </row>
    <row r="11" spans="1:32" ht="10.5">
      <c r="A11" s="1" t="s">
        <v>10</v>
      </c>
      <c r="D11" s="5"/>
      <c r="E11" s="17">
        <v>20</v>
      </c>
      <c r="F11" s="47">
        <v>30</v>
      </c>
      <c r="G11" s="14">
        <f>SUM(F11*1.05)</f>
        <v>31.5</v>
      </c>
      <c r="H11" s="14">
        <f aca="true" t="shared" si="5" ref="H11:AD11">SUM(G11*1.05)</f>
        <v>33.075</v>
      </c>
      <c r="I11" s="14">
        <f t="shared" si="5"/>
        <v>34.728750000000005</v>
      </c>
      <c r="J11" s="14">
        <f t="shared" si="5"/>
        <v>36.465187500000006</v>
      </c>
      <c r="K11" s="14">
        <f t="shared" si="5"/>
        <v>38.288446875000005</v>
      </c>
      <c r="L11" s="14">
        <f t="shared" si="5"/>
        <v>40.20286921875001</v>
      </c>
      <c r="M11" s="14">
        <f t="shared" si="5"/>
        <v>42.21301267968751</v>
      </c>
      <c r="N11" s="14">
        <f t="shared" si="5"/>
        <v>44.32366331367189</v>
      </c>
      <c r="O11" s="14">
        <f t="shared" si="5"/>
        <v>46.53984647935548</v>
      </c>
      <c r="P11" s="14">
        <f t="shared" si="5"/>
        <v>48.86683880332326</v>
      </c>
      <c r="Q11" s="14">
        <f t="shared" si="5"/>
        <v>51.310180743489425</v>
      </c>
      <c r="R11" s="14">
        <f t="shared" si="5"/>
        <v>53.8756897806639</v>
      </c>
      <c r="S11" s="14">
        <f t="shared" si="5"/>
        <v>56.569474269697096</v>
      </c>
      <c r="T11" s="14">
        <f t="shared" si="5"/>
        <v>59.39794798318195</v>
      </c>
      <c r="U11" s="14">
        <f t="shared" si="5"/>
        <v>62.36784538234105</v>
      </c>
      <c r="V11" s="14">
        <f t="shared" si="5"/>
        <v>65.48623765145811</v>
      </c>
      <c r="W11" s="14">
        <f t="shared" si="5"/>
        <v>68.76054953403101</v>
      </c>
      <c r="X11" s="14">
        <f t="shared" si="5"/>
        <v>72.19857701073256</v>
      </c>
      <c r="Y11" s="14">
        <f t="shared" si="5"/>
        <v>75.8085058612692</v>
      </c>
      <c r="Z11" s="14">
        <f t="shared" si="5"/>
        <v>79.59893115433266</v>
      </c>
      <c r="AA11" s="14">
        <f t="shared" si="5"/>
        <v>83.57887771204929</v>
      </c>
      <c r="AB11" s="14">
        <f t="shared" si="5"/>
        <v>87.75782159765176</v>
      </c>
      <c r="AC11" s="14">
        <f t="shared" si="5"/>
        <v>92.14571267753435</v>
      </c>
      <c r="AD11" s="14">
        <f t="shared" si="5"/>
        <v>96.75299831141108</v>
      </c>
      <c r="AE11" s="18"/>
      <c r="AF11" s="1" t="s">
        <v>10</v>
      </c>
    </row>
    <row r="12" spans="1:32" ht="10.5">
      <c r="A12" s="1" t="s">
        <v>38</v>
      </c>
      <c r="D12" s="5"/>
      <c r="E12" s="17">
        <f>SUM(E7:E11)</f>
        <v>3820</v>
      </c>
      <c r="F12" s="27">
        <v>3800</v>
      </c>
      <c r="G12" s="27">
        <f>SUM(F12*1.03)</f>
        <v>3914</v>
      </c>
      <c r="H12" s="27">
        <f aca="true" t="shared" si="6" ref="H12:AD12">SUM(G12*1.03)</f>
        <v>4031.42</v>
      </c>
      <c r="I12" s="27">
        <f t="shared" si="6"/>
        <v>4152.3626</v>
      </c>
      <c r="J12" s="27">
        <f t="shared" si="6"/>
        <v>4276.933478000001</v>
      </c>
      <c r="K12" s="27">
        <f t="shared" si="6"/>
        <v>4405.241482340001</v>
      </c>
      <c r="L12" s="27">
        <f t="shared" si="6"/>
        <v>4537.398726810202</v>
      </c>
      <c r="M12" s="27">
        <f t="shared" si="6"/>
        <v>4673.520688614508</v>
      </c>
      <c r="N12" s="27">
        <f t="shared" si="6"/>
        <v>4813.726309272944</v>
      </c>
      <c r="O12" s="27">
        <f t="shared" si="6"/>
        <v>4958.138098551132</v>
      </c>
      <c r="P12" s="27">
        <f t="shared" si="6"/>
        <v>5106.882241507667</v>
      </c>
      <c r="Q12" s="27">
        <f t="shared" si="6"/>
        <v>5260.088708752896</v>
      </c>
      <c r="R12" s="27">
        <f t="shared" si="6"/>
        <v>5417.8913700154835</v>
      </c>
      <c r="S12" s="27">
        <f t="shared" si="6"/>
        <v>5580.428111115948</v>
      </c>
      <c r="T12" s="27">
        <f t="shared" si="6"/>
        <v>5747.840954449427</v>
      </c>
      <c r="U12" s="27">
        <f t="shared" si="6"/>
        <v>5920.27618308291</v>
      </c>
      <c r="V12" s="27">
        <f t="shared" si="6"/>
        <v>6097.8844685753975</v>
      </c>
      <c r="W12" s="27">
        <f t="shared" si="6"/>
        <v>6280.82100263266</v>
      </c>
      <c r="X12" s="27">
        <f t="shared" si="6"/>
        <v>6469.24563271164</v>
      </c>
      <c r="Y12" s="27">
        <f t="shared" si="6"/>
        <v>6663.323001692989</v>
      </c>
      <c r="Z12" s="27">
        <f t="shared" si="6"/>
        <v>6863.222691743779</v>
      </c>
      <c r="AA12" s="27">
        <f t="shared" si="6"/>
        <v>7069.119372496093</v>
      </c>
      <c r="AB12" s="27">
        <f t="shared" si="6"/>
        <v>7281.192953670976</v>
      </c>
      <c r="AC12" s="27">
        <f t="shared" si="6"/>
        <v>7499.628742281106</v>
      </c>
      <c r="AD12" s="27">
        <f t="shared" si="6"/>
        <v>7724.617604549539</v>
      </c>
      <c r="AE12" s="16"/>
      <c r="AF12" s="1" t="s">
        <v>38</v>
      </c>
    </row>
    <row r="13" spans="1:31" ht="10.5">
      <c r="A13" s="1" t="s">
        <v>12</v>
      </c>
      <c r="D13" s="5"/>
      <c r="E13" s="17">
        <f>SUM(E12*7)</f>
        <v>26740</v>
      </c>
      <c r="F13" s="4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9"/>
    </row>
    <row r="14" spans="1:32" ht="10.5">
      <c r="A14" s="1" t="s">
        <v>43</v>
      </c>
      <c r="D14" s="5" t="s">
        <v>6</v>
      </c>
      <c r="F14" s="48">
        <v>1000</v>
      </c>
      <c r="G14" s="29">
        <f>SUM(F14*1.1)</f>
        <v>1100</v>
      </c>
      <c r="H14" s="29">
        <f aca="true" t="shared" si="7" ref="H14:AD14">SUM(G14*1.1)</f>
        <v>1210</v>
      </c>
      <c r="I14" s="29">
        <f t="shared" si="7"/>
        <v>1331</v>
      </c>
      <c r="J14" s="29">
        <f t="shared" si="7"/>
        <v>1464.1000000000001</v>
      </c>
      <c r="K14" s="29">
        <f t="shared" si="7"/>
        <v>1610.5100000000002</v>
      </c>
      <c r="L14" s="29">
        <f t="shared" si="7"/>
        <v>1771.5610000000004</v>
      </c>
      <c r="M14" s="29">
        <f t="shared" si="7"/>
        <v>1948.7171000000005</v>
      </c>
      <c r="N14" s="29">
        <f t="shared" si="7"/>
        <v>2143.5888100000006</v>
      </c>
      <c r="O14" s="29">
        <f t="shared" si="7"/>
        <v>2357.9476910000008</v>
      </c>
      <c r="P14" s="29">
        <f t="shared" si="7"/>
        <v>2593.742460100001</v>
      </c>
      <c r="Q14" s="29">
        <f t="shared" si="7"/>
        <v>2853.1167061100014</v>
      </c>
      <c r="R14" s="29">
        <f t="shared" si="7"/>
        <v>3138.4283767210018</v>
      </c>
      <c r="S14" s="29">
        <f t="shared" si="7"/>
        <v>3452.271214393102</v>
      </c>
      <c r="T14" s="29">
        <f t="shared" si="7"/>
        <v>3797.4983358324125</v>
      </c>
      <c r="U14" s="29">
        <f t="shared" si="7"/>
        <v>4177.248169415654</v>
      </c>
      <c r="V14" s="29">
        <f t="shared" si="7"/>
        <v>4594.97298635722</v>
      </c>
      <c r="W14" s="29">
        <f t="shared" si="7"/>
        <v>5054.470284992943</v>
      </c>
      <c r="X14" s="29">
        <f t="shared" si="7"/>
        <v>5559.917313492238</v>
      </c>
      <c r="Y14" s="29">
        <f t="shared" si="7"/>
        <v>6115.909044841462</v>
      </c>
      <c r="Z14" s="29">
        <f t="shared" si="7"/>
        <v>6727.499949325608</v>
      </c>
      <c r="AA14" s="29">
        <f t="shared" si="7"/>
        <v>7400.249944258169</v>
      </c>
      <c r="AB14" s="29">
        <f t="shared" si="7"/>
        <v>8140.274938683987</v>
      </c>
      <c r="AC14" s="29">
        <f t="shared" si="7"/>
        <v>8954.302432552386</v>
      </c>
      <c r="AD14" s="29">
        <f t="shared" si="7"/>
        <v>9849.732675807625</v>
      </c>
      <c r="AE14" s="19"/>
      <c r="AF14" s="1" t="s">
        <v>43</v>
      </c>
    </row>
    <row r="15" spans="1:33" ht="10.5">
      <c r="A15" s="1" t="s">
        <v>39</v>
      </c>
      <c r="B15" s="5"/>
      <c r="F15" s="49">
        <f>SUM(F8+F10+F11+F14)</f>
        <v>16630</v>
      </c>
      <c r="G15" s="49">
        <f>SUM(F15*1.03)</f>
        <v>17128.9</v>
      </c>
      <c r="H15" s="49">
        <f aca="true" t="shared" si="8" ref="H15:AD15">SUM(G15*1.03)</f>
        <v>17642.767000000003</v>
      </c>
      <c r="I15" s="49">
        <f t="shared" si="8"/>
        <v>18172.050010000003</v>
      </c>
      <c r="J15" s="49">
        <f t="shared" si="8"/>
        <v>18717.211510300003</v>
      </c>
      <c r="K15" s="49">
        <f t="shared" si="8"/>
        <v>19278.727855609002</v>
      </c>
      <c r="L15" s="49">
        <f t="shared" si="8"/>
        <v>19857.089691277273</v>
      </c>
      <c r="M15" s="49">
        <f t="shared" si="8"/>
        <v>20452.80238201559</v>
      </c>
      <c r="N15" s="49">
        <f t="shared" si="8"/>
        <v>21066.386453476058</v>
      </c>
      <c r="O15" s="49">
        <f t="shared" si="8"/>
        <v>21698.37804708034</v>
      </c>
      <c r="P15" s="49">
        <f t="shared" si="8"/>
        <v>22349.32938849275</v>
      </c>
      <c r="Q15" s="49">
        <f t="shared" si="8"/>
        <v>23019.809270147536</v>
      </c>
      <c r="R15" s="49">
        <f t="shared" si="8"/>
        <v>23710.40354825196</v>
      </c>
      <c r="S15" s="49">
        <f t="shared" si="8"/>
        <v>24421.71565469952</v>
      </c>
      <c r="T15" s="49">
        <f t="shared" si="8"/>
        <v>25154.367124340508</v>
      </c>
      <c r="U15" s="49">
        <f t="shared" si="8"/>
        <v>25908.998138070725</v>
      </c>
      <c r="V15" s="49">
        <f t="shared" si="8"/>
        <v>26686.268082212846</v>
      </c>
      <c r="W15" s="49">
        <f t="shared" si="8"/>
        <v>27486.85612467923</v>
      </c>
      <c r="X15" s="49">
        <f t="shared" si="8"/>
        <v>28311.461808419608</v>
      </c>
      <c r="Y15" s="49">
        <f t="shared" si="8"/>
        <v>29160.805662672195</v>
      </c>
      <c r="Z15" s="49">
        <f t="shared" si="8"/>
        <v>30035.62983255236</v>
      </c>
      <c r="AA15" s="49">
        <f t="shared" si="8"/>
        <v>30936.698727528932</v>
      </c>
      <c r="AB15" s="49">
        <f t="shared" si="8"/>
        <v>31864.7996893548</v>
      </c>
      <c r="AC15" s="49">
        <f t="shared" si="8"/>
        <v>32820.74368003545</v>
      </c>
      <c r="AD15" s="49">
        <f t="shared" si="8"/>
        <v>33805.36599043651</v>
      </c>
      <c r="AE15" s="20"/>
      <c r="AF15" s="1" t="s">
        <v>39</v>
      </c>
      <c r="AG15" s="5"/>
    </row>
    <row r="16" spans="1:33" ht="10.5">
      <c r="A16" s="1" t="s">
        <v>46</v>
      </c>
      <c r="B16" s="5"/>
      <c r="F16" s="14">
        <f>SUM(F15*315)</f>
        <v>5238450</v>
      </c>
      <c r="G16" s="14">
        <f aca="true" t="shared" si="9" ref="G16:AD16">SUM(G15*315)</f>
        <v>5395603.5</v>
      </c>
      <c r="H16" s="14">
        <f t="shared" si="9"/>
        <v>5557471.605000001</v>
      </c>
      <c r="I16" s="14">
        <f t="shared" si="9"/>
        <v>5724195.753150001</v>
      </c>
      <c r="J16" s="14">
        <f t="shared" si="9"/>
        <v>5895921.625744501</v>
      </c>
      <c r="K16" s="14">
        <f t="shared" si="9"/>
        <v>6072799.274516836</v>
      </c>
      <c r="L16" s="14">
        <f t="shared" si="9"/>
        <v>6254983.252752341</v>
      </c>
      <c r="M16" s="14">
        <f t="shared" si="9"/>
        <v>6442632.750334911</v>
      </c>
      <c r="N16" s="14">
        <f t="shared" si="9"/>
        <v>6635911.732844958</v>
      </c>
      <c r="O16" s="14">
        <f t="shared" si="9"/>
        <v>6834989.0848303065</v>
      </c>
      <c r="P16" s="14">
        <f t="shared" si="9"/>
        <v>7040038.757375217</v>
      </c>
      <c r="Q16" s="14">
        <f t="shared" si="9"/>
        <v>7251239.920096474</v>
      </c>
      <c r="R16" s="14">
        <f t="shared" si="9"/>
        <v>7468777.117699368</v>
      </c>
      <c r="S16" s="14">
        <f t="shared" si="9"/>
        <v>7692840.4312303495</v>
      </c>
      <c r="T16" s="14">
        <f t="shared" si="9"/>
        <v>7923625.64416726</v>
      </c>
      <c r="U16" s="14">
        <f t="shared" si="9"/>
        <v>8161334.413492278</v>
      </c>
      <c r="V16" s="14">
        <f t="shared" si="9"/>
        <v>8406174.445897046</v>
      </c>
      <c r="W16" s="14">
        <f t="shared" si="9"/>
        <v>8658359.679273957</v>
      </c>
      <c r="X16" s="14">
        <f t="shared" si="9"/>
        <v>8918110.469652176</v>
      </c>
      <c r="Y16" s="14">
        <f t="shared" si="9"/>
        <v>9185653.783741742</v>
      </c>
      <c r="Z16" s="14">
        <f t="shared" si="9"/>
        <v>9461223.397253994</v>
      </c>
      <c r="AA16" s="14">
        <f t="shared" si="9"/>
        <v>9745060.099171614</v>
      </c>
      <c r="AB16" s="14">
        <f t="shared" si="9"/>
        <v>10037411.902146762</v>
      </c>
      <c r="AC16" s="14">
        <f t="shared" si="9"/>
        <v>10338534.259211166</v>
      </c>
      <c r="AD16" s="14">
        <f t="shared" si="9"/>
        <v>10648690.286987502</v>
      </c>
      <c r="AE16" s="20">
        <f>SUM(F16:AD16)</f>
        <v>190990033.18657073</v>
      </c>
      <c r="AF16" s="1" t="s">
        <v>46</v>
      </c>
      <c r="AG16" s="5"/>
    </row>
    <row r="17" spans="2:32" ht="10.5">
      <c r="B17" s="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20"/>
      <c r="AF17" s="5"/>
    </row>
    <row r="18" spans="1:32" ht="10.5">
      <c r="A18" s="4" t="s">
        <v>7</v>
      </c>
      <c r="F18" s="14"/>
      <c r="G18" s="14"/>
      <c r="H18" s="15"/>
      <c r="I18" s="22"/>
      <c r="J18" s="23"/>
      <c r="K18" s="23"/>
      <c r="L18" s="23"/>
      <c r="M18" s="23"/>
      <c r="N18" s="23"/>
      <c r="O18" s="14"/>
      <c r="P18" s="24"/>
      <c r="Q18" s="24"/>
      <c r="R18" s="24"/>
      <c r="S18" s="24"/>
      <c r="T18" s="24"/>
      <c r="U18" s="24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4" t="s">
        <v>7</v>
      </c>
    </row>
    <row r="19" spans="1:32" ht="10.5">
      <c r="A19" s="5" t="s">
        <v>45</v>
      </c>
      <c r="D19" s="5" t="s">
        <v>8</v>
      </c>
      <c r="F19" s="14">
        <f>SUM(F16*0.3)</f>
        <v>1571535</v>
      </c>
      <c r="G19" s="14">
        <f aca="true" t="shared" si="10" ref="G19:AD19">SUM(G16*0.3)</f>
        <v>1618681.05</v>
      </c>
      <c r="H19" s="14">
        <f t="shared" si="10"/>
        <v>1667241.4815000005</v>
      </c>
      <c r="I19" s="14">
        <f t="shared" si="10"/>
        <v>1717258.7259450003</v>
      </c>
      <c r="J19" s="14">
        <f t="shared" si="10"/>
        <v>1768776.4877233503</v>
      </c>
      <c r="K19" s="14">
        <f t="shared" si="10"/>
        <v>1821839.7823550508</v>
      </c>
      <c r="L19" s="14">
        <f t="shared" si="10"/>
        <v>1876494.9758257023</v>
      </c>
      <c r="M19" s="14">
        <f t="shared" si="10"/>
        <v>1932789.8251004731</v>
      </c>
      <c r="N19" s="14">
        <f t="shared" si="10"/>
        <v>1990773.5198534874</v>
      </c>
      <c r="O19" s="14">
        <f t="shared" si="10"/>
        <v>2050496.7254490918</v>
      </c>
      <c r="P19" s="14">
        <f t="shared" si="10"/>
        <v>2112011.627212565</v>
      </c>
      <c r="Q19" s="14">
        <f t="shared" si="10"/>
        <v>2175371.976028942</v>
      </c>
      <c r="R19" s="14">
        <f t="shared" si="10"/>
        <v>2240633.1353098103</v>
      </c>
      <c r="S19" s="14">
        <f t="shared" si="10"/>
        <v>2307852.1293691047</v>
      </c>
      <c r="T19" s="14">
        <f t="shared" si="10"/>
        <v>2377087.693250178</v>
      </c>
      <c r="U19" s="14">
        <f t="shared" si="10"/>
        <v>2448400.3240476833</v>
      </c>
      <c r="V19" s="14">
        <f t="shared" si="10"/>
        <v>2521852.3337691138</v>
      </c>
      <c r="W19" s="14">
        <f t="shared" si="10"/>
        <v>2597507.903782187</v>
      </c>
      <c r="X19" s="14">
        <f t="shared" si="10"/>
        <v>2675433.1408956526</v>
      </c>
      <c r="Y19" s="14">
        <f t="shared" si="10"/>
        <v>2755696.1351225227</v>
      </c>
      <c r="Z19" s="14">
        <f t="shared" si="10"/>
        <v>2838367.019176198</v>
      </c>
      <c r="AA19" s="14">
        <f t="shared" si="10"/>
        <v>2923518.0297514843</v>
      </c>
      <c r="AB19" s="14">
        <f t="shared" si="10"/>
        <v>3011223.5706440285</v>
      </c>
      <c r="AC19" s="14">
        <f t="shared" si="10"/>
        <v>3101560.2777633495</v>
      </c>
      <c r="AD19" s="14">
        <f t="shared" si="10"/>
        <v>3194607.0860962505</v>
      </c>
      <c r="AE19" s="16">
        <f>SUM(F19:AD19)</f>
        <v>57297009.95597124</v>
      </c>
      <c r="AF19" s="5" t="s">
        <v>99</v>
      </c>
    </row>
    <row r="20" spans="1:32" ht="10.5">
      <c r="A20" s="5" t="s">
        <v>103</v>
      </c>
      <c r="D20" s="5"/>
      <c r="F20" s="149">
        <f>SUM(F16*0.04)</f>
        <v>209538</v>
      </c>
      <c r="G20" s="149">
        <f aca="true" t="shared" si="11" ref="G20:AD20">SUM(G16*0.04)</f>
        <v>215824.14</v>
      </c>
      <c r="H20" s="149">
        <f t="shared" si="11"/>
        <v>222298.86420000007</v>
      </c>
      <c r="I20" s="149">
        <f t="shared" si="11"/>
        <v>228967.83012600004</v>
      </c>
      <c r="J20" s="149">
        <f t="shared" si="11"/>
        <v>235836.86502978005</v>
      </c>
      <c r="K20" s="149">
        <f t="shared" si="11"/>
        <v>242911.97098067345</v>
      </c>
      <c r="L20" s="149">
        <f t="shared" si="11"/>
        <v>250199.33011009367</v>
      </c>
      <c r="M20" s="149">
        <f t="shared" si="11"/>
        <v>257705.31001339646</v>
      </c>
      <c r="N20" s="149">
        <f t="shared" si="11"/>
        <v>265436.46931379836</v>
      </c>
      <c r="O20" s="149">
        <f t="shared" si="11"/>
        <v>273399.5633932123</v>
      </c>
      <c r="P20" s="149">
        <f t="shared" si="11"/>
        <v>281601.5502950087</v>
      </c>
      <c r="Q20" s="149">
        <f t="shared" si="11"/>
        <v>290049.59680385893</v>
      </c>
      <c r="R20" s="149">
        <f t="shared" si="11"/>
        <v>298751.08470797475</v>
      </c>
      <c r="S20" s="149">
        <f t="shared" si="11"/>
        <v>307713.617249214</v>
      </c>
      <c r="T20" s="149">
        <f t="shared" si="11"/>
        <v>316945.02576669044</v>
      </c>
      <c r="U20" s="149">
        <f t="shared" si="11"/>
        <v>326453.3765396911</v>
      </c>
      <c r="V20" s="149">
        <f t="shared" si="11"/>
        <v>336246.9778358819</v>
      </c>
      <c r="W20" s="149">
        <f t="shared" si="11"/>
        <v>346334.3871709583</v>
      </c>
      <c r="X20" s="149">
        <f t="shared" si="11"/>
        <v>356724.418786087</v>
      </c>
      <c r="Y20" s="149">
        <f t="shared" si="11"/>
        <v>367426.15134966973</v>
      </c>
      <c r="Z20" s="149">
        <f t="shared" si="11"/>
        <v>378448.93589015974</v>
      </c>
      <c r="AA20" s="149">
        <f t="shared" si="11"/>
        <v>389802.4039668646</v>
      </c>
      <c r="AB20" s="149">
        <f t="shared" si="11"/>
        <v>401496.4760858705</v>
      </c>
      <c r="AC20" s="149">
        <f t="shared" si="11"/>
        <v>413541.37036844663</v>
      </c>
      <c r="AD20" s="149">
        <f t="shared" si="11"/>
        <v>425947.6114795001</v>
      </c>
      <c r="AE20" s="150">
        <f>SUM(F20:AD20)</f>
        <v>7639601.32746283</v>
      </c>
      <c r="AF20" s="5" t="s">
        <v>9</v>
      </c>
    </row>
    <row r="21" spans="2:32" s="11" customFormat="1" ht="10.5">
      <c r="B21" s="10" t="s">
        <v>0</v>
      </c>
      <c r="E21" s="46"/>
      <c r="F21" s="15">
        <f aca="true" t="shared" si="12" ref="F21:AD21">SUM(F19:F20)</f>
        <v>1781073</v>
      </c>
      <c r="G21" s="15">
        <f t="shared" si="12"/>
        <v>1834505.19</v>
      </c>
      <c r="H21" s="15">
        <f t="shared" si="12"/>
        <v>1889540.3457000004</v>
      </c>
      <c r="I21" s="15">
        <f t="shared" si="12"/>
        <v>1946226.5560710004</v>
      </c>
      <c r="J21" s="15">
        <f t="shared" si="12"/>
        <v>2004613.3527531303</v>
      </c>
      <c r="K21" s="15">
        <f t="shared" si="12"/>
        <v>2064751.7533357241</v>
      </c>
      <c r="L21" s="15">
        <f t="shared" si="12"/>
        <v>2126694.305935796</v>
      </c>
      <c r="M21" s="15">
        <f t="shared" si="12"/>
        <v>2190495.13511387</v>
      </c>
      <c r="N21" s="15">
        <f t="shared" si="12"/>
        <v>2256209.9891672856</v>
      </c>
      <c r="O21" s="15">
        <f t="shared" si="12"/>
        <v>2323896.288842304</v>
      </c>
      <c r="P21" s="15">
        <f t="shared" si="12"/>
        <v>2393613.1775075737</v>
      </c>
      <c r="Q21" s="15">
        <f t="shared" si="12"/>
        <v>2465421.572832801</v>
      </c>
      <c r="R21" s="15">
        <f t="shared" si="12"/>
        <v>2539384.220017785</v>
      </c>
      <c r="S21" s="15">
        <f t="shared" si="12"/>
        <v>2615565.746618319</v>
      </c>
      <c r="T21" s="15">
        <f t="shared" si="12"/>
        <v>2694032.719016868</v>
      </c>
      <c r="U21" s="15">
        <f t="shared" si="12"/>
        <v>2774853.700587374</v>
      </c>
      <c r="V21" s="15">
        <f t="shared" si="12"/>
        <v>2858099.3116049957</v>
      </c>
      <c r="W21" s="15">
        <f t="shared" si="12"/>
        <v>2943842.2909531454</v>
      </c>
      <c r="X21" s="15">
        <f t="shared" si="12"/>
        <v>3032157.5596817397</v>
      </c>
      <c r="Y21" s="15">
        <f t="shared" si="12"/>
        <v>3123122.2864721925</v>
      </c>
      <c r="Z21" s="15">
        <f t="shared" si="12"/>
        <v>3216815.9550663577</v>
      </c>
      <c r="AA21" s="15">
        <f t="shared" si="12"/>
        <v>3313320.433718349</v>
      </c>
      <c r="AB21" s="15">
        <f t="shared" si="12"/>
        <v>3412720.046729899</v>
      </c>
      <c r="AC21" s="15">
        <f t="shared" si="12"/>
        <v>3515101.648131796</v>
      </c>
      <c r="AD21" s="15">
        <f t="shared" si="12"/>
        <v>3620554.6975757508</v>
      </c>
      <c r="AE21" s="148">
        <f>SUM(F21:AD21)</f>
        <v>64936611.283434056</v>
      </c>
      <c r="AF21" s="10" t="s">
        <v>0</v>
      </c>
    </row>
    <row r="22" spans="1:32" s="11" customFormat="1" ht="24" customHeight="1" thickBot="1">
      <c r="A22" s="35" t="s">
        <v>47</v>
      </c>
      <c r="B22" s="36"/>
      <c r="E22" s="46"/>
      <c r="F22" s="15">
        <f>+F16-F21</f>
        <v>3457377</v>
      </c>
      <c r="G22" s="15">
        <f>+G16-G21</f>
        <v>3561098.31</v>
      </c>
      <c r="H22" s="15">
        <f>+H16-H21</f>
        <v>3667931.259300001</v>
      </c>
      <c r="I22" s="15">
        <f>+I16-I21</f>
        <v>3777969.197079001</v>
      </c>
      <c r="J22" s="15">
        <f>+J16-J21</f>
        <v>3891308.272991371</v>
      </c>
      <c r="K22" s="15">
        <f>+K16-K21</f>
        <v>4008047.5211811117</v>
      </c>
      <c r="L22" s="15">
        <f>+L16-L21</f>
        <v>4128288.9468165454</v>
      </c>
      <c r="M22" s="15">
        <f>+M16-M21</f>
        <v>4252137.615221041</v>
      </c>
      <c r="N22" s="15">
        <f>+N16-N21</f>
        <v>4379701.743677672</v>
      </c>
      <c r="O22" s="15">
        <f>+O16-O21</f>
        <v>4511092.795988003</v>
      </c>
      <c r="P22" s="15">
        <f>+P16-P21</f>
        <v>4646425.579867643</v>
      </c>
      <c r="Q22" s="15">
        <f>+Q16-Q21</f>
        <v>4785818.347263673</v>
      </c>
      <c r="R22" s="15">
        <f>+R16-R21</f>
        <v>4929392.897681583</v>
      </c>
      <c r="S22" s="15">
        <f>+S16-S21</f>
        <v>5077274.68461203</v>
      </c>
      <c r="T22" s="15">
        <f>+T16-T21</f>
        <v>5229592.925150393</v>
      </c>
      <c r="U22" s="15">
        <f>+U16-U21</f>
        <v>5386480.712904904</v>
      </c>
      <c r="V22" s="15">
        <f>+V16-V21</f>
        <v>5548075.134292051</v>
      </c>
      <c r="W22" s="15">
        <f>+W16-W21</f>
        <v>5714517.388320812</v>
      </c>
      <c r="X22" s="15">
        <f>+X16-X21</f>
        <v>5885952.909970436</v>
      </c>
      <c r="Y22" s="15">
        <f>+Y16-Y21</f>
        <v>6062531.49726955</v>
      </c>
      <c r="Z22" s="15">
        <f>+Z16-Z21</f>
        <v>6244407.442187636</v>
      </c>
      <c r="AA22" s="15">
        <f>+AA16-AA21</f>
        <v>6431739.665453265</v>
      </c>
      <c r="AB22" s="15">
        <f>+AB16-AB21</f>
        <v>6624691.855416863</v>
      </c>
      <c r="AC22" s="15">
        <f>+AC16-AC21</f>
        <v>6823432.61107937</v>
      </c>
      <c r="AD22" s="15">
        <f>+AD16-AD21</f>
        <v>7028135.589411751</v>
      </c>
      <c r="AE22" s="21">
        <f>SUM(F22:AD22)</f>
        <v>126053421.90313672</v>
      </c>
      <c r="AF22" s="10" t="s">
        <v>44</v>
      </c>
    </row>
    <row r="23" spans="1:30" ht="11.25" thickTop="1">
      <c r="A23" s="1" t="s">
        <v>102</v>
      </c>
      <c r="C23" s="28"/>
      <c r="D23" s="37"/>
      <c r="F23" s="147">
        <v>11.66</v>
      </c>
      <c r="G23" s="147">
        <f>SUM(F23*1.03)</f>
        <v>12.0098</v>
      </c>
      <c r="H23" s="147">
        <f aca="true" t="shared" si="13" ref="H23:AD23">SUM(G23*1.03)</f>
        <v>12.370094</v>
      </c>
      <c r="I23" s="147">
        <f t="shared" si="13"/>
        <v>12.74119682</v>
      </c>
      <c r="J23" s="147">
        <f t="shared" si="13"/>
        <v>13.1234327246</v>
      </c>
      <c r="K23" s="147">
        <f t="shared" si="13"/>
        <v>13.517135706338001</v>
      </c>
      <c r="L23" s="147">
        <f t="shared" si="13"/>
        <v>13.922649777528141</v>
      </c>
      <c r="M23" s="147">
        <f t="shared" si="13"/>
        <v>14.340329270853985</v>
      </c>
      <c r="N23" s="147">
        <f t="shared" si="13"/>
        <v>14.770539148979605</v>
      </c>
      <c r="O23" s="147">
        <f t="shared" si="13"/>
        <v>15.213655323448993</v>
      </c>
      <c r="P23" s="147">
        <f t="shared" si="13"/>
        <v>15.670064983152463</v>
      </c>
      <c r="Q23" s="147">
        <f t="shared" si="13"/>
        <v>16.140166932647038</v>
      </c>
      <c r="R23" s="147">
        <f t="shared" si="13"/>
        <v>16.62437194062645</v>
      </c>
      <c r="S23" s="147">
        <f t="shared" si="13"/>
        <v>17.123103098845245</v>
      </c>
      <c r="T23" s="147">
        <f t="shared" si="13"/>
        <v>17.636796191810603</v>
      </c>
      <c r="U23" s="147">
        <f t="shared" si="13"/>
        <v>18.16590007756492</v>
      </c>
      <c r="V23" s="147">
        <f t="shared" si="13"/>
        <v>18.71087707989187</v>
      </c>
      <c r="W23" s="147">
        <f t="shared" si="13"/>
        <v>19.272203392288624</v>
      </c>
      <c r="X23" s="147">
        <f t="shared" si="13"/>
        <v>19.850369494057283</v>
      </c>
      <c r="Y23" s="147">
        <f t="shared" si="13"/>
        <v>20.445880578879002</v>
      </c>
      <c r="Z23" s="147">
        <f t="shared" si="13"/>
        <v>21.059256996245374</v>
      </c>
      <c r="AA23" s="147">
        <f t="shared" si="13"/>
        <v>21.691034706132736</v>
      </c>
      <c r="AB23" s="147">
        <f t="shared" si="13"/>
        <v>22.341765747316717</v>
      </c>
      <c r="AC23" s="147">
        <f t="shared" si="13"/>
        <v>23.01201871973622</v>
      </c>
      <c r="AD23" s="147">
        <f t="shared" si="13"/>
        <v>23.702379281328305</v>
      </c>
    </row>
    <row r="24" spans="3:12" ht="11.25">
      <c r="C24" s="38"/>
      <c r="D24" s="37"/>
      <c r="G24" s="1"/>
      <c r="H24" s="1"/>
      <c r="J24" s="51"/>
      <c r="L24" s="50"/>
    </row>
    <row r="25" spans="3:12" ht="10.5">
      <c r="C25" s="28"/>
      <c r="D25" s="37"/>
      <c r="G25" s="1"/>
      <c r="H25" s="1"/>
      <c r="L25" s="28"/>
    </row>
    <row r="26" spans="3:8" ht="10.5">
      <c r="C26" s="28"/>
      <c r="D26" s="37"/>
      <c r="G26" s="1"/>
      <c r="H26" s="1"/>
    </row>
    <row r="27" spans="5:23" s="52" customFormat="1" ht="10.5">
      <c r="E27" s="53"/>
      <c r="F27" s="56"/>
      <c r="G27" s="56"/>
      <c r="H27" s="56"/>
      <c r="I27" s="56"/>
      <c r="J27" s="56"/>
      <c r="K27" s="56"/>
      <c r="N27" s="54"/>
      <c r="W27" s="55"/>
    </row>
    <row r="28" spans="4:31" ht="10.5">
      <c r="D28" s="37"/>
      <c r="F28" s="52"/>
      <c r="G28" s="52"/>
      <c r="H28" s="52"/>
      <c r="I28" s="52"/>
      <c r="J28" s="52"/>
      <c r="K28" s="52"/>
      <c r="W28" s="30"/>
      <c r="X28" s="30"/>
      <c r="Y28" s="30"/>
      <c r="Z28" s="30"/>
      <c r="AA28" s="30"/>
      <c r="AB28" s="30"/>
      <c r="AC28" s="30"/>
      <c r="AD28" s="30"/>
      <c r="AE28" s="30"/>
    </row>
    <row r="29" spans="3:31" ht="10.5">
      <c r="C29" s="28"/>
      <c r="F29" s="3"/>
      <c r="G29" s="1"/>
      <c r="H29" s="1"/>
      <c r="X29" s="30"/>
      <c r="Y29" s="30"/>
      <c r="Z29" s="30"/>
      <c r="AA29" s="30"/>
      <c r="AB29" s="30"/>
      <c r="AC29" s="30"/>
      <c r="AD29" s="30"/>
      <c r="AE29" s="30"/>
    </row>
    <row r="30" spans="6:8" ht="10.5">
      <c r="F30" s="2"/>
      <c r="G30" s="31"/>
      <c r="H30" s="31"/>
    </row>
    <row r="31" spans="6:17" ht="10.5">
      <c r="F31" s="2"/>
      <c r="G31" s="31"/>
      <c r="H31" s="31"/>
      <c r="I31" s="2"/>
      <c r="P31" s="2"/>
      <c r="Q31" s="2"/>
    </row>
    <row r="32" spans="2:9" ht="10.5">
      <c r="B32" s="5" t="s">
        <v>1</v>
      </c>
      <c r="F32" s="5" t="s">
        <v>1</v>
      </c>
      <c r="I32" s="2"/>
    </row>
    <row r="33" spans="2:17" ht="10.5">
      <c r="B33" s="5" t="s">
        <v>1</v>
      </c>
      <c r="C33" s="5" t="s">
        <v>1</v>
      </c>
      <c r="F33" s="2"/>
      <c r="G33" s="31"/>
      <c r="H33" s="31"/>
      <c r="I33" s="2"/>
      <c r="J33" s="2"/>
      <c r="K33" s="2"/>
      <c r="L33" s="2"/>
      <c r="M33" s="2"/>
      <c r="N33" s="2"/>
      <c r="O33" s="2"/>
      <c r="P33" s="2"/>
      <c r="Q33" s="2"/>
    </row>
    <row r="34" spans="6:17" ht="10.5">
      <c r="F34" s="2"/>
      <c r="G34" s="31"/>
      <c r="H34" s="31"/>
      <c r="I34" s="2"/>
      <c r="J34" s="2"/>
      <c r="K34" s="2"/>
      <c r="L34" s="2"/>
      <c r="M34" s="2"/>
      <c r="N34" s="2"/>
      <c r="O34" s="2"/>
      <c r="P34" s="2"/>
      <c r="Q34" s="2"/>
    </row>
    <row r="37" spans="36:38" ht="10.5">
      <c r="AJ37" s="30"/>
      <c r="AK37" s="30"/>
      <c r="AL37" s="30"/>
    </row>
    <row r="38" spans="36:38" ht="10.5">
      <c r="AJ38" s="2"/>
      <c r="AK38" s="2"/>
      <c r="AL38" s="2"/>
    </row>
    <row r="39" spans="9:38" ht="10.5">
      <c r="I39" s="2"/>
      <c r="AJ39" s="2"/>
      <c r="AK39" s="2"/>
      <c r="AL39" s="2"/>
    </row>
    <row r="40" ht="10.5">
      <c r="I40" s="2"/>
    </row>
    <row r="41" ht="10.5">
      <c r="I41" s="2"/>
    </row>
    <row r="45" spans="5:8" ht="10.5">
      <c r="E45" s="1"/>
      <c r="G45" s="1"/>
      <c r="H45" s="1"/>
    </row>
    <row r="46" spans="5:8" ht="10.5">
      <c r="E46" s="1"/>
      <c r="G46" s="1"/>
      <c r="H46" s="1"/>
    </row>
    <row r="47" spans="5:23" ht="10.5">
      <c r="E47" s="1"/>
      <c r="G47" s="1"/>
      <c r="H47" s="1"/>
      <c r="W47" s="30"/>
    </row>
    <row r="48" spans="5:23" ht="10.5">
      <c r="E48" s="1"/>
      <c r="G48" s="1"/>
      <c r="H48" s="1"/>
      <c r="P48" s="30"/>
      <c r="Q48" s="30"/>
      <c r="R48" s="30"/>
      <c r="S48" s="30"/>
      <c r="T48" s="30"/>
      <c r="U48" s="30"/>
      <c r="V48" s="30"/>
      <c r="W48" s="2"/>
    </row>
    <row r="49" spans="5:23" ht="10.5">
      <c r="E49" s="7"/>
      <c r="F49" s="7"/>
      <c r="G49" s="1"/>
      <c r="H49" s="8"/>
      <c r="I49" s="6" t="s">
        <v>1</v>
      </c>
      <c r="P49" s="2"/>
      <c r="Q49" s="2"/>
      <c r="R49" s="2"/>
      <c r="S49" s="2"/>
      <c r="T49" s="2"/>
      <c r="U49" s="2"/>
      <c r="V49" s="2"/>
      <c r="W49" s="2"/>
    </row>
    <row r="50" spans="5:23" ht="10.5">
      <c r="E50" s="7"/>
      <c r="F50" s="7"/>
      <c r="G50" s="1"/>
      <c r="H50" s="7"/>
      <c r="P50" s="2"/>
      <c r="Q50" s="2"/>
      <c r="R50" s="2"/>
      <c r="S50" s="2"/>
      <c r="T50" s="2"/>
      <c r="U50" s="2"/>
      <c r="V50" s="2"/>
      <c r="W50" s="2"/>
    </row>
    <row r="51" spans="5:23" ht="10.5">
      <c r="E51" s="7"/>
      <c r="F51" s="7"/>
      <c r="G51" s="1"/>
      <c r="H51" s="1"/>
      <c r="I51" s="32" t="s">
        <v>1</v>
      </c>
      <c r="J51" s="33" t="s">
        <v>1</v>
      </c>
      <c r="P51" s="2"/>
      <c r="Q51" s="2"/>
      <c r="R51" s="2"/>
      <c r="S51" s="2"/>
      <c r="T51" s="2"/>
      <c r="U51" s="2"/>
      <c r="V51" s="2"/>
      <c r="W51" s="2"/>
    </row>
    <row r="52" spans="5:24" ht="10.5">
      <c r="E52" s="7"/>
      <c r="F52" s="7"/>
      <c r="G52" s="1"/>
      <c r="H52" s="1"/>
      <c r="I52" s="32" t="s">
        <v>1</v>
      </c>
      <c r="P52" s="2"/>
      <c r="Q52" s="2"/>
      <c r="R52" s="2"/>
      <c r="S52" s="2"/>
      <c r="T52" s="2"/>
      <c r="U52" s="2"/>
      <c r="V52" s="2"/>
      <c r="W52" s="2"/>
      <c r="X52" s="30"/>
    </row>
    <row r="53" spans="5:25" ht="10.5">
      <c r="E53" s="7"/>
      <c r="F53" s="7"/>
      <c r="G53" s="1"/>
      <c r="H53" s="1"/>
      <c r="I53" s="32" t="s">
        <v>1</v>
      </c>
      <c r="P53" s="2"/>
      <c r="Q53" s="2"/>
      <c r="R53" s="2"/>
      <c r="S53" s="2"/>
      <c r="T53" s="2"/>
      <c r="U53" s="2"/>
      <c r="V53" s="2"/>
      <c r="W53" s="2"/>
      <c r="X53" s="2"/>
      <c r="Y53" s="30"/>
    </row>
    <row r="54" spans="5:25" ht="10.5">
      <c r="E54" s="7"/>
      <c r="F54" s="7"/>
      <c r="G54" s="1"/>
      <c r="H54" s="1"/>
      <c r="I54" s="7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5:25" ht="10.5">
      <c r="E55" s="7"/>
      <c r="F55" s="7"/>
      <c r="G55" s="1"/>
      <c r="H55" s="1"/>
      <c r="I55" s="7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5:25" ht="10.5">
      <c r="E56" s="7"/>
      <c r="F56" s="7"/>
      <c r="G56" s="1"/>
      <c r="H56" s="1"/>
      <c r="I56" s="7"/>
      <c r="P56" s="2"/>
      <c r="Q56" s="2"/>
      <c r="R56" s="2"/>
      <c r="S56" s="2"/>
      <c r="T56" s="2"/>
      <c r="U56" s="2"/>
      <c r="V56" s="2"/>
      <c r="X56" s="2"/>
      <c r="Y56" s="2"/>
    </row>
    <row r="57" spans="5:25" ht="10.5">
      <c r="E57" s="7"/>
      <c r="F57" s="7"/>
      <c r="G57" s="1"/>
      <c r="H57" s="1"/>
      <c r="I57" s="7"/>
      <c r="X57" s="2"/>
      <c r="Y57" s="2"/>
    </row>
    <row r="58" spans="5:25" ht="10.5">
      <c r="E58" s="7"/>
      <c r="F58" s="7"/>
      <c r="G58" s="1"/>
      <c r="H58" s="1"/>
      <c r="I58" s="7"/>
      <c r="X58" s="2"/>
      <c r="Y58" s="2"/>
    </row>
    <row r="59" spans="5:25" ht="10.5">
      <c r="E59" s="7"/>
      <c r="F59" s="7"/>
      <c r="G59" s="1"/>
      <c r="H59" s="1"/>
      <c r="I59" s="7"/>
      <c r="X59" s="2"/>
      <c r="Y59" s="2"/>
    </row>
    <row r="60" spans="5:25" ht="10.5">
      <c r="E60" s="7"/>
      <c r="F60" s="7"/>
      <c r="G60" s="1"/>
      <c r="H60" s="1"/>
      <c r="I60" s="7"/>
      <c r="X60" s="2"/>
      <c r="Y60" s="2"/>
    </row>
    <row r="61" spans="5:25" ht="10.5">
      <c r="E61" s="7"/>
      <c r="F61" s="7"/>
      <c r="G61" s="1"/>
      <c r="H61" s="1"/>
      <c r="I61" s="7"/>
      <c r="Y61" s="2"/>
    </row>
    <row r="62" spans="2:9" ht="10.5">
      <c r="B62" s="5" t="s">
        <v>1</v>
      </c>
      <c r="E62" s="7"/>
      <c r="F62" s="7"/>
      <c r="G62" s="1"/>
      <c r="H62" s="1"/>
      <c r="I62" s="7"/>
    </row>
    <row r="63" spans="2:9" ht="10.5">
      <c r="B63" s="32" t="s">
        <v>1</v>
      </c>
      <c r="E63" s="7"/>
      <c r="F63" s="7"/>
      <c r="G63" s="1"/>
      <c r="H63" s="1"/>
      <c r="I63" s="7"/>
    </row>
    <row r="64" spans="2:9" ht="10.5">
      <c r="B64" s="32" t="s">
        <v>1</v>
      </c>
      <c r="C64" s="39"/>
      <c r="E64" s="7"/>
      <c r="F64" s="7"/>
      <c r="G64" s="1"/>
      <c r="H64" s="1"/>
      <c r="I64" s="7"/>
    </row>
    <row r="65" spans="2:9" ht="10.5">
      <c r="B65" s="5" t="s">
        <v>1</v>
      </c>
      <c r="C65" s="39"/>
      <c r="E65" s="7"/>
      <c r="F65" s="7"/>
      <c r="G65" s="1"/>
      <c r="H65" s="1"/>
      <c r="I65" s="7"/>
    </row>
    <row r="66" spans="5:9" ht="10.5">
      <c r="E66" s="7"/>
      <c r="F66" s="7"/>
      <c r="G66" s="1"/>
      <c r="H66" s="7"/>
      <c r="I66" s="7"/>
    </row>
    <row r="67" spans="2:8" ht="10.5">
      <c r="B67" s="5" t="s">
        <v>1</v>
      </c>
      <c r="C67" s="39"/>
      <c r="E67" s="1"/>
      <c r="G67" s="1"/>
      <c r="H67" s="1"/>
    </row>
  </sheetData>
  <mergeCells count="1">
    <mergeCell ref="AF4:AG4"/>
  </mergeCells>
  <printOptions/>
  <pageMargins left="0.75" right="0.43" top="0.5" bottom="0.5" header="0.5" footer="0.5"/>
  <pageSetup horizontalDpi="600" verticalDpi="600" orientation="landscape" pageOrder="overThenDown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I23" sqref="I23"/>
    </sheetView>
  </sheetViews>
  <sheetFormatPr defaultColWidth="9.140625" defaultRowHeight="12.75"/>
  <cols>
    <col min="4" max="4" width="10.57421875" style="0" customWidth="1"/>
    <col min="5" max="5" width="9.28125" style="13" bestFit="1" customWidth="1"/>
    <col min="7" max="7" width="11.7109375" style="0" customWidth="1"/>
    <col min="8" max="8" width="9.140625" style="133" customWidth="1"/>
    <col min="10" max="10" width="11.57421875" style="0" customWidth="1"/>
    <col min="11" max="11" width="15.7109375" style="0" customWidth="1"/>
  </cols>
  <sheetData>
    <row r="1" spans="1:9" ht="15.75">
      <c r="A1" s="57"/>
      <c r="B1" s="58"/>
      <c r="C1" s="59" t="s">
        <v>48</v>
      </c>
      <c r="D1" s="58"/>
      <c r="E1" s="60"/>
      <c r="F1" s="61"/>
      <c r="G1" s="62" t="str">
        <f>"[in $1,000s]"</f>
        <v>[in $1,000s]</v>
      </c>
      <c r="H1" s="63"/>
      <c r="I1" s="57"/>
    </row>
    <row r="2" spans="1:9" ht="12.75">
      <c r="A2" s="64"/>
      <c r="B2" s="65" t="s">
        <v>49</v>
      </c>
      <c r="C2" s="66"/>
      <c r="D2" s="66"/>
      <c r="E2" s="67" t="s">
        <v>50</v>
      </c>
      <c r="F2" s="68" t="s">
        <v>51</v>
      </c>
      <c r="G2" s="69" t="s">
        <v>52</v>
      </c>
      <c r="H2" s="70"/>
      <c r="I2" s="57"/>
    </row>
    <row r="3" spans="1:9" ht="12.75">
      <c r="A3" s="57"/>
      <c r="B3" s="71" t="s">
        <v>53</v>
      </c>
      <c r="C3" s="71"/>
      <c r="D3" s="71"/>
      <c r="E3" s="72">
        <v>1750</v>
      </c>
      <c r="F3" s="73" t="s">
        <v>54</v>
      </c>
      <c r="G3" s="74">
        <v>8750</v>
      </c>
      <c r="H3" s="75"/>
      <c r="I3" s="57"/>
    </row>
    <row r="4" spans="1:9" ht="12.75">
      <c r="A4" s="57"/>
      <c r="B4" s="76" t="s">
        <v>55</v>
      </c>
      <c r="C4" s="71"/>
      <c r="D4" s="71"/>
      <c r="E4" s="72">
        <v>1000</v>
      </c>
      <c r="F4" s="73" t="s">
        <v>56</v>
      </c>
      <c r="G4" s="74">
        <f aca="true" t="shared" si="0" ref="G4:G11">SUM(E4*6.6)</f>
        <v>6600</v>
      </c>
      <c r="H4" s="75"/>
      <c r="I4" s="57"/>
    </row>
    <row r="5" spans="1:12" ht="13.5" customHeight="1">
      <c r="A5" s="57"/>
      <c r="B5" s="145" t="s">
        <v>57</v>
      </c>
      <c r="C5" s="145"/>
      <c r="D5" s="145"/>
      <c r="E5" s="72">
        <v>500</v>
      </c>
      <c r="F5" s="73" t="s">
        <v>56</v>
      </c>
      <c r="G5" s="74">
        <f t="shared" si="0"/>
        <v>3300</v>
      </c>
      <c r="H5" s="75"/>
      <c r="I5" s="57"/>
      <c r="J5" s="77"/>
      <c r="K5" s="78"/>
      <c r="L5" s="77"/>
    </row>
    <row r="6" spans="1:10" ht="12.75">
      <c r="A6" s="57"/>
      <c r="B6" s="146" t="s">
        <v>58</v>
      </c>
      <c r="C6" s="146"/>
      <c r="D6" s="146"/>
      <c r="E6" s="72">
        <f>SUM(105*8.8)</f>
        <v>924.0000000000001</v>
      </c>
      <c r="F6" s="73" t="s">
        <v>56</v>
      </c>
      <c r="G6" s="74">
        <f t="shared" si="0"/>
        <v>6098.400000000001</v>
      </c>
      <c r="H6" s="75"/>
      <c r="I6" s="57"/>
      <c r="J6" s="79"/>
    </row>
    <row r="7" spans="1:15" ht="12.75">
      <c r="A7" s="57"/>
      <c r="B7" s="71" t="s">
        <v>59</v>
      </c>
      <c r="C7" s="71"/>
      <c r="D7" s="71"/>
      <c r="E7" s="80">
        <f>SUM(4.3*105)</f>
        <v>451.5</v>
      </c>
      <c r="F7" s="73" t="s">
        <v>56</v>
      </c>
      <c r="G7" s="74">
        <f t="shared" si="0"/>
        <v>2979.8999999999996</v>
      </c>
      <c r="H7" s="75"/>
      <c r="I7" s="57"/>
      <c r="L7" s="81" t="s">
        <v>60</v>
      </c>
      <c r="N7" s="82" t="s">
        <v>61</v>
      </c>
      <c r="O7" s="82" t="s">
        <v>62</v>
      </c>
    </row>
    <row r="8" spans="1:12" ht="12.75">
      <c r="A8" s="57"/>
      <c r="B8" s="71" t="s">
        <v>63</v>
      </c>
      <c r="C8" s="71"/>
      <c r="D8" s="71"/>
      <c r="E8" s="72">
        <f>40</f>
        <v>40</v>
      </c>
      <c r="F8" s="73" t="s">
        <v>56</v>
      </c>
      <c r="G8" s="74">
        <f t="shared" si="0"/>
        <v>264</v>
      </c>
      <c r="H8" s="75"/>
      <c r="I8" s="57"/>
      <c r="J8" s="82"/>
      <c r="L8" s="83">
        <v>3000</v>
      </c>
    </row>
    <row r="9" spans="1:12" ht="12.75">
      <c r="A9" s="57"/>
      <c r="B9" s="76" t="s">
        <v>64</v>
      </c>
      <c r="C9" s="71"/>
      <c r="D9" s="71"/>
      <c r="E9" s="72">
        <v>253</v>
      </c>
      <c r="F9" s="73" t="s">
        <v>56</v>
      </c>
      <c r="G9" s="74">
        <f t="shared" si="0"/>
        <v>1669.8</v>
      </c>
      <c r="H9" s="75"/>
      <c r="I9" s="57"/>
      <c r="J9" s="82"/>
      <c r="L9" s="83">
        <v>2500</v>
      </c>
    </row>
    <row r="10" spans="1:12" ht="12.75">
      <c r="A10" s="57"/>
      <c r="B10" s="71" t="s">
        <v>65</v>
      </c>
      <c r="C10" s="71"/>
      <c r="D10" s="71"/>
      <c r="E10" s="80">
        <v>700</v>
      </c>
      <c r="F10" s="73" t="s">
        <v>56</v>
      </c>
      <c r="G10" s="74">
        <f t="shared" si="0"/>
        <v>4620</v>
      </c>
      <c r="H10" s="75"/>
      <c r="I10" s="57"/>
      <c r="J10" s="82"/>
      <c r="L10" s="83">
        <v>925</v>
      </c>
    </row>
    <row r="11" spans="1:12" ht="12.75">
      <c r="A11" s="57"/>
      <c r="B11" s="71" t="s">
        <v>66</v>
      </c>
      <c r="C11" s="71"/>
      <c r="D11" s="84"/>
      <c r="E11" s="72">
        <v>1700</v>
      </c>
      <c r="F11" s="73" t="s">
        <v>67</v>
      </c>
      <c r="G11" s="74">
        <f t="shared" si="0"/>
        <v>11220</v>
      </c>
      <c r="H11" s="75"/>
      <c r="I11" s="57"/>
      <c r="J11" s="82"/>
      <c r="L11" s="83">
        <v>253</v>
      </c>
    </row>
    <row r="12" spans="1:12" ht="12.75">
      <c r="A12" s="57"/>
      <c r="B12" s="71" t="s">
        <v>68</v>
      </c>
      <c r="C12" s="71"/>
      <c r="D12" s="71"/>
      <c r="E12" s="72">
        <v>760</v>
      </c>
      <c r="F12" s="73" t="s">
        <v>69</v>
      </c>
      <c r="G12" s="74">
        <f>SUM(E12*25)</f>
        <v>19000</v>
      </c>
      <c r="H12" s="75"/>
      <c r="I12" s="57"/>
      <c r="J12" s="82"/>
      <c r="L12" s="83">
        <v>630</v>
      </c>
    </row>
    <row r="13" spans="1:12" ht="12.75">
      <c r="A13" s="57"/>
      <c r="B13" s="71" t="s">
        <v>70</v>
      </c>
      <c r="C13" s="71"/>
      <c r="D13" s="71"/>
      <c r="E13" s="72"/>
      <c r="F13" s="73" t="s">
        <v>71</v>
      </c>
      <c r="G13" s="74">
        <v>1000</v>
      </c>
      <c r="H13" s="75"/>
      <c r="I13" s="57"/>
      <c r="J13" s="82"/>
      <c r="K13" s="82"/>
      <c r="L13" s="83">
        <v>202</v>
      </c>
    </row>
    <row r="14" spans="1:12" ht="12.75">
      <c r="A14" s="57"/>
      <c r="B14" s="71" t="s">
        <v>72</v>
      </c>
      <c r="C14" s="71"/>
      <c r="D14" s="71"/>
      <c r="E14" s="72">
        <v>68</v>
      </c>
      <c r="F14" s="73" t="s">
        <v>73</v>
      </c>
      <c r="G14" s="74">
        <f>SUM(E14*100)</f>
        <v>6800</v>
      </c>
      <c r="H14" s="75"/>
      <c r="I14" s="57"/>
      <c r="J14" s="82"/>
      <c r="L14" s="83">
        <v>700</v>
      </c>
    </row>
    <row r="15" spans="1:12" ht="12.75">
      <c r="A15" s="57"/>
      <c r="B15" s="71" t="s">
        <v>74</v>
      </c>
      <c r="F15" s="1" t="s">
        <v>75</v>
      </c>
      <c r="G15" s="74">
        <v>4100</v>
      </c>
      <c r="H15" s="75"/>
      <c r="I15" s="57"/>
      <c r="J15" s="82"/>
      <c r="L15" s="83">
        <v>20</v>
      </c>
    </row>
    <row r="16" spans="1:12" ht="12.75">
      <c r="A16" s="57"/>
      <c r="B16" s="71" t="s">
        <v>76</v>
      </c>
      <c r="C16" s="71"/>
      <c r="D16" s="71"/>
      <c r="E16" s="85">
        <v>1212</v>
      </c>
      <c r="F16" s="71"/>
      <c r="G16" s="86">
        <v>8000</v>
      </c>
      <c r="H16" s="75"/>
      <c r="I16" s="57"/>
      <c r="J16" s="82"/>
      <c r="L16" s="83">
        <v>451</v>
      </c>
    </row>
    <row r="17" spans="1:12" ht="12.75">
      <c r="A17" s="57"/>
      <c r="B17" s="71" t="s">
        <v>77</v>
      </c>
      <c r="C17" s="71"/>
      <c r="D17" s="87" t="s">
        <v>1</v>
      </c>
      <c r="E17" s="88"/>
      <c r="F17" s="89"/>
      <c r="G17" s="90">
        <f>SUM(G3:G16)</f>
        <v>84402.1</v>
      </c>
      <c r="H17" s="75"/>
      <c r="I17" s="57"/>
      <c r="J17" s="82"/>
      <c r="L17" s="83">
        <v>1700</v>
      </c>
    </row>
    <row r="18" spans="1:12" ht="12.75">
      <c r="A18" s="57"/>
      <c r="D18" s="91"/>
      <c r="E18" s="92"/>
      <c r="F18" s="93"/>
      <c r="G18" s="94"/>
      <c r="H18" s="95"/>
      <c r="I18" s="57"/>
      <c r="J18" s="82"/>
      <c r="K18" s="82"/>
      <c r="L18" s="83">
        <v>403</v>
      </c>
    </row>
    <row r="19" spans="1:12" ht="12.75">
      <c r="A19" s="57"/>
      <c r="B19" s="96" t="s">
        <v>78</v>
      </c>
      <c r="C19" s="97"/>
      <c r="D19" s="71"/>
      <c r="E19" s="72"/>
      <c r="F19" s="73"/>
      <c r="G19" s="74"/>
      <c r="H19" s="75"/>
      <c r="I19" s="57"/>
      <c r="J19" s="98"/>
      <c r="L19" s="83">
        <v>587</v>
      </c>
    </row>
    <row r="20" spans="1:12" ht="12.75">
      <c r="A20" s="57"/>
      <c r="B20" s="71" t="s">
        <v>79</v>
      </c>
      <c r="C20" s="71"/>
      <c r="D20" s="71"/>
      <c r="E20" s="72">
        <v>792</v>
      </c>
      <c r="F20" s="73" t="s">
        <v>1</v>
      </c>
      <c r="G20" s="74">
        <f>0.05*G17</f>
        <v>4220.1050000000005</v>
      </c>
      <c r="H20" s="75"/>
      <c r="I20" s="57"/>
      <c r="J20" s="81"/>
      <c r="L20" s="83">
        <v>88</v>
      </c>
    </row>
    <row r="21" spans="1:10" ht="12.75">
      <c r="A21" s="57"/>
      <c r="B21" s="71" t="s">
        <v>80</v>
      </c>
      <c r="C21" s="71"/>
      <c r="D21" s="71"/>
      <c r="E21" s="72">
        <v>437</v>
      </c>
      <c r="F21" s="73"/>
      <c r="G21" s="74">
        <v>2000</v>
      </c>
      <c r="H21" s="75"/>
      <c r="I21" s="57"/>
      <c r="J21" s="83"/>
    </row>
    <row r="22" spans="1:10" ht="12.75">
      <c r="A22" s="57"/>
      <c r="B22" s="89" t="s">
        <v>81</v>
      </c>
      <c r="C22" s="89"/>
      <c r="D22" s="89"/>
      <c r="E22" s="80">
        <v>2188</v>
      </c>
      <c r="F22" s="99"/>
      <c r="G22" s="100">
        <v>10000</v>
      </c>
      <c r="H22" s="75"/>
      <c r="I22" s="57"/>
      <c r="J22" s="83"/>
    </row>
    <row r="23" spans="1:10" ht="12.75">
      <c r="A23" s="57"/>
      <c r="B23" s="101" t="s">
        <v>82</v>
      </c>
      <c r="C23" s="89"/>
      <c r="D23" s="89"/>
      <c r="E23" s="102">
        <f>SUM(E20:E22)</f>
        <v>3417</v>
      </c>
      <c r="F23" s="99"/>
      <c r="G23" s="103">
        <f>SUM(G20:G22)</f>
        <v>16220.105</v>
      </c>
      <c r="H23" s="75"/>
      <c r="I23" s="57"/>
      <c r="J23" s="83"/>
    </row>
    <row r="24" spans="1:10" ht="12.75">
      <c r="A24" s="57"/>
      <c r="B24" s="89"/>
      <c r="C24" s="89"/>
      <c r="D24" s="104"/>
      <c r="E24" s="105"/>
      <c r="F24" s="99"/>
      <c r="G24" s="106"/>
      <c r="H24" s="75"/>
      <c r="I24" s="57"/>
      <c r="J24" s="83"/>
    </row>
    <row r="25" spans="1:10" ht="15.75">
      <c r="A25" s="107"/>
      <c r="B25" s="108" t="s">
        <v>83</v>
      </c>
      <c r="C25" s="109"/>
      <c r="D25" s="110"/>
      <c r="E25" s="111"/>
      <c r="F25" s="112"/>
      <c r="G25" s="113">
        <f>SUM(G17+G23)</f>
        <v>100622.205</v>
      </c>
      <c r="H25" s="75"/>
      <c r="I25" s="57"/>
      <c r="J25" s="83"/>
    </row>
    <row r="26" spans="1:10" ht="12.75">
      <c r="A26" s="114"/>
      <c r="B26" s="115"/>
      <c r="C26" s="115"/>
      <c r="D26" s="115"/>
      <c r="E26" s="116"/>
      <c r="F26" s="117" t="s">
        <v>2</v>
      </c>
      <c r="G26" s="118"/>
      <c r="H26" s="119"/>
      <c r="J26" s="83"/>
    </row>
    <row r="27" spans="1:10" ht="12.75">
      <c r="A27" s="114"/>
      <c r="B27" s="120"/>
      <c r="C27" s="121"/>
      <c r="D27" s="121"/>
      <c r="E27" s="122"/>
      <c r="F27" s="123" t="s">
        <v>84</v>
      </c>
      <c r="G27" s="124"/>
      <c r="H27" s="125">
        <v>100</v>
      </c>
      <c r="J27" s="83"/>
    </row>
    <row r="28" spans="1:10" ht="12.75">
      <c r="A28" s="114"/>
      <c r="B28" s="115"/>
      <c r="C28" s="121"/>
      <c r="D28" s="121"/>
      <c r="E28" s="122"/>
      <c r="F28" s="126" t="s">
        <v>85</v>
      </c>
      <c r="G28" s="124"/>
      <c r="H28" s="127">
        <v>88</v>
      </c>
      <c r="J28" s="83"/>
    </row>
    <row r="29" spans="1:10" ht="12.75">
      <c r="A29" s="114"/>
      <c r="B29" s="121"/>
      <c r="C29" s="121"/>
      <c r="D29" s="121"/>
      <c r="E29" s="122"/>
      <c r="F29" s="128" t="s">
        <v>86</v>
      </c>
      <c r="G29" s="124"/>
      <c r="H29" s="129" t="s">
        <v>87</v>
      </c>
      <c r="J29" s="83"/>
    </row>
    <row r="30" spans="1:10" ht="12.75">
      <c r="A30" s="114"/>
      <c r="B30" s="121"/>
      <c r="C30" s="121"/>
      <c r="D30" s="121"/>
      <c r="E30" s="122"/>
      <c r="F30" s="128" t="s">
        <v>88</v>
      </c>
      <c r="G30" s="124"/>
      <c r="H30" s="129">
        <v>30</v>
      </c>
      <c r="J30" s="83"/>
    </row>
    <row r="31" spans="1:10" ht="12.75">
      <c r="A31" s="114"/>
      <c r="B31" s="121"/>
      <c r="C31" s="121"/>
      <c r="D31" s="121"/>
      <c r="E31" s="122"/>
      <c r="F31" s="128" t="s">
        <v>89</v>
      </c>
      <c r="G31" s="124"/>
      <c r="H31" s="129">
        <v>6</v>
      </c>
      <c r="J31" s="83"/>
    </row>
    <row r="32" spans="1:10" ht="12.75">
      <c r="A32" s="114"/>
      <c r="B32" s="121"/>
      <c r="C32" s="121"/>
      <c r="D32" s="121"/>
      <c r="E32" s="122"/>
      <c r="F32" s="128" t="s">
        <v>90</v>
      </c>
      <c r="G32" s="124"/>
      <c r="H32" s="130">
        <v>15000</v>
      </c>
      <c r="J32" s="83"/>
    </row>
    <row r="33" spans="1:10" ht="12.75">
      <c r="A33" s="114"/>
      <c r="B33" s="121"/>
      <c r="C33" s="121"/>
      <c r="D33" s="121"/>
      <c r="E33" s="122"/>
      <c r="F33" s="128" t="s">
        <v>91</v>
      </c>
      <c r="G33" s="124"/>
      <c r="H33" s="130">
        <v>2</v>
      </c>
      <c r="J33" s="83"/>
    </row>
    <row r="34" spans="1:10" ht="12.75">
      <c r="A34" s="114"/>
      <c r="B34" s="121"/>
      <c r="C34" s="121"/>
      <c r="D34" s="121"/>
      <c r="E34" s="122"/>
      <c r="F34" s="128" t="s">
        <v>92</v>
      </c>
      <c r="G34" s="124"/>
      <c r="H34" s="130">
        <v>330</v>
      </c>
      <c r="J34" s="82"/>
    </row>
    <row r="35" spans="1:10" ht="12.75">
      <c r="A35" s="131"/>
      <c r="B35" s="121"/>
      <c r="C35" s="121"/>
      <c r="D35" s="121"/>
      <c r="E35" s="122"/>
      <c r="F35" s="128" t="s">
        <v>93</v>
      </c>
      <c r="G35" s="124"/>
      <c r="H35" s="129">
        <v>13</v>
      </c>
      <c r="J35" s="82"/>
    </row>
    <row r="36" spans="1:10" ht="12.75">
      <c r="A36" s="131"/>
      <c r="B36" s="115"/>
      <c r="C36" s="121"/>
      <c r="D36" s="121"/>
      <c r="E36" s="122"/>
      <c r="F36" s="132"/>
      <c r="G36" s="124"/>
      <c r="J36" s="82"/>
    </row>
    <row r="37" spans="1:10" ht="12.75">
      <c r="A37" s="131"/>
      <c r="B37" s="115"/>
      <c r="C37" s="121"/>
      <c r="D37" s="121"/>
      <c r="E37" s="122"/>
      <c r="F37" s="132"/>
      <c r="G37" s="134"/>
      <c r="H37" s="135"/>
      <c r="J37" s="82"/>
    </row>
    <row r="38" spans="1:10" ht="12.75">
      <c r="A38" s="131"/>
      <c r="B38" s="120"/>
      <c r="C38" s="121"/>
      <c r="D38" s="121"/>
      <c r="E38" s="122"/>
      <c r="F38" s="132"/>
      <c r="G38" s="136"/>
      <c r="H38" s="137"/>
      <c r="J38" s="82"/>
    </row>
    <row r="39" ht="12.75">
      <c r="J39" s="82"/>
    </row>
    <row r="40" ht="12.75">
      <c r="J40" s="82"/>
    </row>
    <row r="41" ht="12.75">
      <c r="J41" s="82"/>
    </row>
    <row r="42" ht="12.75">
      <c r="J42" s="82"/>
    </row>
    <row r="43" ht="12.75">
      <c r="J43" s="82"/>
    </row>
    <row r="44" ht="12.75">
      <c r="J44" s="82"/>
    </row>
    <row r="45" ht="12.75">
      <c r="J45" s="82"/>
    </row>
    <row r="46" ht="12.75">
      <c r="J46" s="82"/>
    </row>
    <row r="47" ht="12.75">
      <c r="J47" s="81"/>
    </row>
    <row r="48" ht="12.75">
      <c r="J48" s="138"/>
    </row>
    <row r="49" ht="12.75">
      <c r="J49" s="83"/>
    </row>
    <row r="50" ht="12.75">
      <c r="J50" s="139"/>
    </row>
    <row r="51" ht="12.75">
      <c r="J51" s="139"/>
    </row>
    <row r="52" ht="12.75">
      <c r="J52" s="139"/>
    </row>
    <row r="53" ht="12.75">
      <c r="J53" s="83"/>
    </row>
    <row r="54" ht="12.75">
      <c r="J54" s="83"/>
    </row>
    <row r="55" ht="12.75">
      <c r="J55" s="83"/>
    </row>
    <row r="56" ht="12.75">
      <c r="J56" s="83"/>
    </row>
    <row r="57" ht="12.75">
      <c r="J57" s="83"/>
    </row>
    <row r="58" ht="12.75">
      <c r="J58" s="83"/>
    </row>
    <row r="59" ht="12.75">
      <c r="J59" s="83"/>
    </row>
    <row r="60" ht="12.75">
      <c r="J60" s="140"/>
    </row>
    <row r="61" spans="10:13" ht="12.75">
      <c r="J61" s="141"/>
      <c r="M61" s="141" t="s">
        <v>94</v>
      </c>
    </row>
    <row r="62" spans="10:13" ht="12.75">
      <c r="J62" s="141"/>
      <c r="M62" s="141" t="s">
        <v>95</v>
      </c>
    </row>
    <row r="63" ht="12.75">
      <c r="J63" s="141"/>
    </row>
    <row r="64" ht="12.75">
      <c r="J64" s="141"/>
    </row>
    <row r="65" ht="12.75">
      <c r="J65" s="141"/>
    </row>
    <row r="66" ht="12.75">
      <c r="J66" s="142"/>
    </row>
    <row r="67" ht="12.75">
      <c r="J67" s="142"/>
    </row>
    <row r="68" ht="12.75">
      <c r="J68" s="142"/>
    </row>
    <row r="69" ht="12.75">
      <c r="J69" s="142"/>
    </row>
    <row r="70" ht="12.75">
      <c r="J70" s="142"/>
    </row>
  </sheetData>
  <mergeCells count="2">
    <mergeCell ref="B5:D5"/>
    <mergeCell ref="B6:D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 Computing</dc:creator>
  <cp:keywords/>
  <dc:description/>
  <cp:lastModifiedBy>Authorized User</cp:lastModifiedBy>
  <cp:lastPrinted>2004-08-20T18:14:27Z</cp:lastPrinted>
  <dcterms:created xsi:type="dcterms:W3CDTF">1999-06-13T22:59:13Z</dcterms:created>
  <dcterms:modified xsi:type="dcterms:W3CDTF">2006-02-18T18:56:40Z</dcterms:modified>
  <cp:category/>
  <cp:version/>
  <cp:contentType/>
  <cp:contentStatus/>
</cp:coreProperties>
</file>